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61" windowWidth="19770" windowHeight="9510" tabRatio="274" activeTab="0"/>
  </bookViews>
  <sheets>
    <sheet name="Tapping Calculator" sheetId="1" r:id="rId1"/>
  </sheets>
  <definedNames>
    <definedName name="_xlnm.Print_Area" localSheetId="0">'Tapping Calculator'!$A$1:$L$27</definedName>
  </definedNames>
  <calcPr fullCalcOnLoad="1"/>
</workbook>
</file>

<file path=xl/sharedStrings.xml><?xml version="1.0" encoding="utf-8"?>
<sst xmlns="http://schemas.openxmlformats.org/spreadsheetml/2006/main" count="224" uniqueCount="187">
  <si>
    <t>Press Stroke Needed for Tapping</t>
  </si>
  <si>
    <t>Tap Size(mm)</t>
  </si>
  <si>
    <t>Tap RPM</t>
  </si>
  <si>
    <t>Tap Size(in)</t>
  </si>
  <si>
    <t>RPM</t>
  </si>
  <si>
    <t>#2-56</t>
  </si>
  <si>
    <t>#3-48</t>
  </si>
  <si>
    <t>#4-40</t>
  </si>
  <si>
    <t>#5-40</t>
  </si>
  <si>
    <t>M3 x 0.5</t>
  </si>
  <si>
    <t>#6-32</t>
  </si>
  <si>
    <t>M3.5 x 0.6</t>
  </si>
  <si>
    <t>#8-32</t>
  </si>
  <si>
    <t>M4 x 0.7</t>
  </si>
  <si>
    <t>#10-24</t>
  </si>
  <si>
    <t>#10-32</t>
  </si>
  <si>
    <t>M5 x 0.8</t>
  </si>
  <si>
    <t>#12-24</t>
  </si>
  <si>
    <t>1/4-20</t>
  </si>
  <si>
    <t>M6 x 1.0</t>
  </si>
  <si>
    <t>1/4-28</t>
  </si>
  <si>
    <t>M8 x 1,0</t>
  </si>
  <si>
    <t>5/16-18</t>
  </si>
  <si>
    <t>5/16-24</t>
  </si>
  <si>
    <t>M8 x 1.25</t>
  </si>
  <si>
    <t>3/8-16</t>
  </si>
  <si>
    <t>M10 x 1.5</t>
  </si>
  <si>
    <t>3/8-24</t>
  </si>
  <si>
    <t>M10 x 1.25</t>
  </si>
  <si>
    <t>7/16-20</t>
  </si>
  <si>
    <t>1/2-13</t>
  </si>
  <si>
    <t>M12 x 1.75</t>
  </si>
  <si>
    <t>1/2-20</t>
  </si>
  <si>
    <t>M12 x 1.25</t>
  </si>
  <si>
    <t>Customer</t>
  </si>
  <si>
    <t>Serial Number (P.O.)</t>
  </si>
  <si>
    <t>Gear Ratio</t>
  </si>
  <si>
    <t>Number of Cams</t>
  </si>
  <si>
    <t>Tap Size</t>
  </si>
  <si>
    <t>Number of Posts</t>
  </si>
  <si>
    <t>Number of Spindles</t>
  </si>
  <si>
    <t>Approximate Production Speeds  (Stroke Per Minute)</t>
  </si>
  <si>
    <t>Model Number</t>
  </si>
  <si>
    <t>Tap Travel per 1" of Press Stroke</t>
  </si>
  <si>
    <t>Ratio</t>
  </si>
  <si>
    <t>.81:1  mm</t>
  </si>
  <si>
    <t>.96:1  in.</t>
  </si>
  <si>
    <t>.96:1  mm</t>
  </si>
  <si>
    <t>.81:1  in.</t>
  </si>
  <si>
    <t>1.11:1 in.</t>
  </si>
  <si>
    <t>1.11:1 mm</t>
  </si>
  <si>
    <t>1.36:1 mm</t>
  </si>
  <si>
    <t>1.6:1 in.</t>
  </si>
  <si>
    <t>1.36:1 in.</t>
  </si>
  <si>
    <t>1.9:1 in.</t>
  </si>
  <si>
    <t>2.14:1 in.</t>
  </si>
  <si>
    <t>2.28:1 in.</t>
  </si>
  <si>
    <t>2.38:1 in.</t>
  </si>
  <si>
    <t>2.48:1 in.</t>
  </si>
  <si>
    <t>2.57:1 in.</t>
  </si>
  <si>
    <t>2.72:1 in.</t>
  </si>
  <si>
    <t>2.82:1 in.</t>
  </si>
  <si>
    <t>3:1 in.</t>
  </si>
  <si>
    <t>3.33:1 in.</t>
  </si>
  <si>
    <t>3.49:1 in.</t>
  </si>
  <si>
    <t>3.62:1 in.</t>
  </si>
  <si>
    <t>4:1 in.</t>
  </si>
  <si>
    <t>4.19:1 in.</t>
  </si>
  <si>
    <t>4.91:1 in.</t>
  </si>
  <si>
    <t>1.6:1 mm</t>
  </si>
  <si>
    <t>1.9:1 mm</t>
  </si>
  <si>
    <t>2.14:1 mm</t>
  </si>
  <si>
    <t>2.28:1 mm</t>
  </si>
  <si>
    <t>2.38:1 mm</t>
  </si>
  <si>
    <t>2.48:1 mm</t>
  </si>
  <si>
    <t>2.57:1 mm</t>
  </si>
  <si>
    <t>2.72:1 mm</t>
  </si>
  <si>
    <t>2.82:1 mm</t>
  </si>
  <si>
    <t>3:1 mm</t>
  </si>
  <si>
    <t>3.33:1 mm</t>
  </si>
  <si>
    <t>3.49:1 mm</t>
  </si>
  <si>
    <t>3.62:1 mm</t>
  </si>
  <si>
    <t>4:1 mm</t>
  </si>
  <si>
    <t>4.19:1 mm</t>
  </si>
  <si>
    <t>4.91:1 mm</t>
  </si>
  <si>
    <t>Please note these speeds are based on mild steel.  When running HSLA expect to run 2/3 of these speeds Stainless still will run 1/3 of these speeds and brass will double these speeds.</t>
  </si>
  <si>
    <t>Press stroke  mm</t>
  </si>
  <si>
    <t>Strip Lift  in.</t>
  </si>
  <si>
    <t>Strip Lift  mm</t>
  </si>
  <si>
    <t>Part thickness  mm</t>
  </si>
  <si>
    <t>Thread pitch  mm</t>
  </si>
  <si>
    <t>Thread pitch  T.P.I.</t>
  </si>
  <si>
    <t>1.11:1 ratio  in.</t>
  </si>
  <si>
    <t>2.14:1 ratio  in.</t>
  </si>
  <si>
    <t>2.38:1 ratio  in.</t>
  </si>
  <si>
    <t>2.57:1 ratio  in.</t>
  </si>
  <si>
    <t>2.82:1 ratio  in.</t>
  </si>
  <si>
    <t>3.33:1 ratio  in.</t>
  </si>
  <si>
    <t>3.62:1 ratio  in.</t>
  </si>
  <si>
    <t>4.19:1 ratio  in.</t>
  </si>
  <si>
    <t>1.11:1 ratio  mm</t>
  </si>
  <si>
    <t>2.14:1 ratio  mm</t>
  </si>
  <si>
    <t>2.38:1 ratio  mm</t>
  </si>
  <si>
    <t>2.57:1 ratio  mm</t>
  </si>
  <si>
    <t>2.82:1 ratio  mm</t>
  </si>
  <si>
    <t>3.33:1 ratio  mm</t>
  </si>
  <si>
    <t>3.62:1 ratio  mm</t>
  </si>
  <si>
    <t>4.19:1 ratio  mm</t>
  </si>
  <si>
    <t>1.36:1 ratio  in.</t>
  </si>
  <si>
    <t>2.28:1 ratio  in.</t>
  </si>
  <si>
    <t>2.48:1 ratio  in.</t>
  </si>
  <si>
    <t>2.72:1 ratio  in.</t>
  </si>
  <si>
    <t>3.49:1 ratio  in.</t>
  </si>
  <si>
    <t>4.91:1 ratio  in.</t>
  </si>
  <si>
    <t>1.36:1 ratio  mm</t>
  </si>
  <si>
    <t>2.28:1 ratio  mm</t>
  </si>
  <si>
    <t>2.48:1 ratio  mm</t>
  </si>
  <si>
    <t>2.72:1 ratio  mm</t>
  </si>
  <si>
    <t>3.49:1 ratio  mm</t>
  </si>
  <si>
    <t>4.91:1 ratio  mm</t>
  </si>
  <si>
    <t>4:1 ratio       mm</t>
  </si>
  <si>
    <t>4:1 ratio       in.</t>
  </si>
  <si>
    <t>3:1 ratio       mm</t>
  </si>
  <si>
    <t>3:1 ratio       in.</t>
  </si>
  <si>
    <t>1.9:1 ratio    mm</t>
  </si>
  <si>
    <t>1.9:1 ratio    in.</t>
  </si>
  <si>
    <t>1.6:1 ratio    mm</t>
  </si>
  <si>
    <t>1.6:1 ratio    in.</t>
  </si>
  <si>
    <t>In-press Tapping Calculation Sheet</t>
  </si>
  <si>
    <t>.96:1 ratio    mm</t>
  </si>
  <si>
    <t>.96:1 ratio    in.</t>
  </si>
  <si>
    <t>.81:1 ratio    mm</t>
  </si>
  <si>
    <t>.81: ratio      in.</t>
  </si>
  <si>
    <t>mm</t>
  </si>
  <si>
    <t>Inches</t>
  </si>
  <si>
    <t>TPI</t>
  </si>
  <si>
    <t>6000&amp;6100</t>
  </si>
  <si>
    <t>3000 &amp; 3100</t>
  </si>
  <si>
    <t>3000 Standard Tapping Unit</t>
  </si>
  <si>
    <t>3100 Follow Along Tapping Unit</t>
  </si>
  <si>
    <t>6000 Standard Tapping Unit</t>
  </si>
  <si>
    <t>6100 Follow Along Tapping Unit</t>
  </si>
  <si>
    <t>Feed Window</t>
  </si>
  <si>
    <t>: 1</t>
  </si>
  <si>
    <t>M4.2 X 1.41</t>
  </si>
  <si>
    <t>M10 x 1.0</t>
  </si>
  <si>
    <t>M10 x 1.0 LH</t>
  </si>
  <si>
    <t>Strip Lift in.</t>
  </si>
  <si>
    <t>Strip Lift mm</t>
  </si>
  <si>
    <t xml:space="preserve">Fill in for a </t>
  </si>
  <si>
    <t>Follow Along Unit Only</t>
  </si>
  <si>
    <t>Fill in for a</t>
  </si>
  <si>
    <t>Standard Unit Only</t>
  </si>
  <si>
    <t>Inch</t>
  </si>
  <si>
    <t>Inch with Metric Mounting Only</t>
  </si>
  <si>
    <t>All Metric Hardware and Mounting</t>
  </si>
  <si>
    <t>SPINDLES</t>
  </si>
  <si>
    <t>POSTS</t>
  </si>
  <si>
    <t>RECOMMENDED TAPPING UNIT</t>
  </si>
  <si>
    <t>-HTS</t>
  </si>
  <si>
    <t>Press stroke   Inch</t>
  </si>
  <si>
    <t>Part thickness  Inch</t>
  </si>
  <si>
    <t>Ratio -   Strokes Per Minute</t>
  </si>
  <si>
    <t>SELECT HARDWARE/MOUNTING OPTIONS BELOW (INCH IS STD.)</t>
  </si>
  <si>
    <t>Part Thickness</t>
  </si>
  <si>
    <t>Metric</t>
  </si>
  <si>
    <t>5 Threads Through Part</t>
  </si>
  <si>
    <t xml:space="preserve">Minimum Tap Travel  </t>
  </si>
  <si>
    <t>TOTAL Tap Travel</t>
  </si>
  <si>
    <t>Press Stroke Required for Tapping</t>
  </si>
  <si>
    <t>In.</t>
  </si>
  <si>
    <t>Production Speed Information</t>
  </si>
  <si>
    <t>Tap RPM's from entry below</t>
  </si>
  <si>
    <t>Calculated Srokes Per Minute  (SPM)</t>
  </si>
  <si>
    <t>Tap Trav. Per 1" Press Stroke</t>
  </si>
  <si>
    <t>Answer</t>
  </si>
  <si>
    <t>Metric Pitch</t>
  </si>
  <si>
    <t>Threads Per Inch (TPI)</t>
  </si>
  <si>
    <t xml:space="preserve">Known     </t>
  </si>
  <si>
    <t>CONVERSION TOOLBOX  (Enter Known Information In Orange Boxes)</t>
  </si>
  <si>
    <t>NOTE:  Data entry is not required in this section!</t>
  </si>
  <si>
    <t xml:space="preserve">part thickness </t>
  </si>
  <si>
    <t>5 threads thru the part</t>
  </si>
  <si>
    <t>strip lift for a Std. unit</t>
  </si>
  <si>
    <t>+</t>
  </si>
  <si>
    <t>Min tap travel req'd =</t>
  </si>
  <si>
    <r>
      <t xml:space="preserve">Find the appropriate RPM's below for your tap size and enter the RPM into the red cell </t>
    </r>
    <r>
      <rPr>
        <b/>
        <sz val="10"/>
        <color indexed="10"/>
        <rFont val="Arial"/>
        <family val="2"/>
      </rPr>
      <t>F32</t>
    </r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</si>
</sst>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6"/>
      <color indexed="19"/>
      <name val="Arial"/>
      <family val="2"/>
    </font>
    <font>
      <b/>
      <sz val="10"/>
      <color indexed="26"/>
      <name val="Arial"/>
      <family val="2"/>
    </font>
    <font>
      <b/>
      <sz val="24"/>
      <color indexed="18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26"/>
      <name val="Arial"/>
      <family val="2"/>
    </font>
    <font>
      <b/>
      <sz val="14"/>
      <color indexed="19"/>
      <name val="Arial"/>
      <family val="2"/>
    </font>
    <font>
      <b/>
      <sz val="8"/>
      <color indexed="17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b/>
      <sz val="10"/>
      <color indexed="55"/>
      <name val="Arial"/>
      <family val="2"/>
    </font>
    <font>
      <b/>
      <sz val="9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9"/>
      <color indexed="51"/>
      <name val="Arial"/>
      <family val="2"/>
    </font>
    <font>
      <b/>
      <sz val="9"/>
      <color indexed="55"/>
      <name val="Arial"/>
      <family val="2"/>
    </font>
    <font>
      <b/>
      <sz val="12"/>
      <name val="Arial"/>
      <family val="2"/>
    </font>
    <font>
      <b/>
      <u val="single"/>
      <sz val="12"/>
      <color indexed="9"/>
      <name val="Arial"/>
      <family val="2"/>
    </font>
    <font>
      <b/>
      <sz val="8"/>
      <color indexed="18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2"/>
      <name val="Arial"/>
      <family val="2"/>
    </font>
    <font>
      <sz val="9"/>
      <color theme="2"/>
      <name val="Arial"/>
      <family val="2"/>
    </font>
    <font>
      <b/>
      <sz val="12"/>
      <color theme="3"/>
      <name val="Arial"/>
      <family val="2"/>
    </font>
    <font>
      <b/>
      <sz val="16"/>
      <color theme="2" tint="-0.7499799728393555"/>
      <name val="Arial"/>
      <family val="2"/>
    </font>
    <font>
      <sz val="10"/>
      <color theme="0" tint="-0.1499900072813034"/>
      <name val="Arial"/>
      <family val="2"/>
    </font>
    <font>
      <sz val="10"/>
      <color theme="0" tint="-0.24997000396251678"/>
      <name val="Arial"/>
      <family val="2"/>
    </font>
    <font>
      <b/>
      <sz val="9"/>
      <color rgb="FF00B050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3499799966812134"/>
      <name val="Arial"/>
      <family val="2"/>
    </font>
    <font>
      <b/>
      <sz val="9"/>
      <color theme="0" tint="-0.3499799966812134"/>
      <name val="Arial"/>
      <family val="2"/>
    </font>
    <font>
      <b/>
      <sz val="9"/>
      <color theme="0"/>
      <name val="Arial"/>
      <family val="2"/>
    </font>
    <font>
      <b/>
      <sz val="10"/>
      <color theme="0" tint="-0.3499799966812134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u val="single"/>
      <sz val="12"/>
      <color theme="0"/>
      <name val="Arial"/>
      <family val="2"/>
    </font>
    <font>
      <b/>
      <sz val="24"/>
      <color theme="3" tint="-0.24997000396251678"/>
      <name val="Arial"/>
      <family val="2"/>
    </font>
    <font>
      <b/>
      <sz val="11"/>
      <color theme="0"/>
      <name val="Arial"/>
      <family val="2"/>
    </font>
    <font>
      <sz val="10"/>
      <color theme="1" tint="0.24998000264167786"/>
      <name val="Arial"/>
      <family val="2"/>
    </font>
    <font>
      <b/>
      <sz val="9"/>
      <color rgb="FFFFC000"/>
      <name val="Arial"/>
      <family val="2"/>
    </font>
    <font>
      <b/>
      <sz val="10"/>
      <color theme="1" tint="0.24998000264167786"/>
      <name val="Arial"/>
      <family val="2"/>
    </font>
    <font>
      <b/>
      <sz val="8"/>
      <color theme="3" tint="-0.24997000396251678"/>
      <name val="Arial"/>
      <family val="2"/>
    </font>
    <font>
      <b/>
      <sz val="14"/>
      <color theme="2" tint="-0.7499799728393555"/>
      <name val="Arial"/>
      <family val="2"/>
    </font>
    <font>
      <b/>
      <sz val="8"/>
      <color rgb="FF00B050"/>
      <name val="Arial"/>
      <family val="2"/>
    </font>
    <font>
      <b/>
      <sz val="8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CC6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2" tint="-0.4999699890613556"/>
      </left>
      <right/>
      <top/>
      <bottom style="medium">
        <color theme="2" tint="-0.4999699890613556"/>
      </bottom>
    </border>
    <border>
      <left/>
      <right/>
      <top/>
      <bottom style="medium">
        <color theme="2" tint="-0.4999699890613556"/>
      </bottom>
    </border>
    <border>
      <left/>
      <right style="medium">
        <color theme="2" tint="-0.4999699890613556"/>
      </right>
      <top/>
      <bottom style="medium">
        <color theme="2" tint="-0.4999699890613556"/>
      </bottom>
    </border>
    <border>
      <left style="medium"/>
      <right/>
      <top/>
      <bottom/>
    </border>
    <border>
      <left style="medium">
        <color theme="2" tint="-0.4999699890613556"/>
      </left>
      <right style="medium">
        <color theme="2" tint="-0.4999699890613556"/>
      </right>
      <top style="medium">
        <color theme="2" tint="-0.4999699890613556"/>
      </top>
      <bottom/>
    </border>
    <border>
      <left/>
      <right style="medium">
        <color theme="2" tint="-0.4999699890613556"/>
      </right>
      <top style="medium">
        <color theme="2" tint="-0.4999699890613556"/>
      </top>
      <bottom/>
    </border>
    <border>
      <left style="medium">
        <color theme="2" tint="-0.4999699890613556"/>
      </left>
      <right style="medium">
        <color theme="2" tint="-0.4999699890613556"/>
      </right>
      <top style="thin">
        <color theme="2" tint="-0.4999699890613556"/>
      </top>
      <bottom/>
    </border>
    <border>
      <left/>
      <right style="medium">
        <color theme="2" tint="-0.4999699890613556"/>
      </right>
      <top style="thin">
        <color theme="2" tint="-0.4999699890613556"/>
      </top>
      <bottom/>
    </border>
    <border>
      <left style="medium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/>
      <right/>
      <top/>
      <bottom style="thin">
        <color theme="2" tint="-0.4999699890613556"/>
      </bottom>
    </border>
    <border>
      <left style="medium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/>
      <right/>
      <top style="thin">
        <color theme="2" tint="-0.4999699890613556"/>
      </top>
      <bottom style="medium">
        <color theme="2" tint="-0.4999699890613556"/>
      </bottom>
    </border>
    <border>
      <left style="medium">
        <color theme="2" tint="-0.4999699890613556"/>
      </left>
      <right style="medium">
        <color theme="2" tint="-0.4999699890613556"/>
      </right>
      <top/>
      <bottom style="thin">
        <color theme="2" tint="-0.4999699890613556"/>
      </bottom>
    </border>
    <border>
      <left/>
      <right style="medium">
        <color theme="2" tint="-0.4999699890613556"/>
      </right>
      <top/>
      <bottom style="thin">
        <color theme="2" tint="-0.4999699890613556"/>
      </bottom>
    </border>
    <border>
      <left style="medium">
        <color theme="2" tint="-0.4999699890613556"/>
      </left>
      <right style="medium">
        <color theme="2" tint="-0.4999699890613556"/>
      </right>
      <top/>
      <bottom style="medium">
        <color theme="2" tint="-0.4999699890613556"/>
      </bottom>
    </border>
    <border>
      <left style="medium"/>
      <right/>
      <top style="thin">
        <color theme="2" tint="-0.4999699890613556"/>
      </top>
      <bottom/>
    </border>
    <border>
      <left style="medium"/>
      <right/>
      <top/>
      <bottom style="thin">
        <color theme="2" tint="-0.4999699890613556"/>
      </bottom>
    </border>
    <border>
      <left style="medium"/>
      <right/>
      <top/>
      <bottom style="medium">
        <color theme="2" tint="-0.4999699890613556"/>
      </bottom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/>
      <right style="medium">
        <color theme="2" tint="-0.4999699890613556"/>
      </right>
      <top/>
      <bottom/>
    </border>
    <border>
      <left style="medium">
        <color theme="2" tint="-0.4999699890613556"/>
      </left>
      <right/>
      <top/>
      <bottom style="thin">
        <color theme="2" tint="-0.4999699890613556"/>
      </bottom>
    </border>
    <border>
      <left style="medium">
        <color theme="2" tint="-0.4999699890613556"/>
      </left>
      <right/>
      <top style="medium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/>
      <top style="thin">
        <color theme="2" tint="-0.4999699890613556"/>
      </top>
      <bottom/>
    </border>
    <border>
      <left style="medium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 style="medium">
        <color theme="2" tint="-0.4999699890613556"/>
      </left>
      <right/>
      <top/>
      <bottom style="double">
        <color theme="2" tint="-0.4999699890613556"/>
      </bottom>
    </border>
    <border>
      <left/>
      <right style="medium">
        <color theme="2" tint="-0.4999699890613556"/>
      </right>
      <top/>
      <bottom style="double">
        <color theme="2" tint="-0.4999699890613556"/>
      </bottom>
    </border>
    <border>
      <left style="medium">
        <color theme="2" tint="-0.4999699890613556"/>
      </left>
      <right/>
      <top/>
      <bottom/>
    </border>
    <border>
      <left style="medium">
        <color theme="2" tint="-0.4999699890613556"/>
      </left>
      <right/>
      <top style="medium">
        <color theme="2" tint="-0.4999699890613556"/>
      </top>
      <bottom style="medium">
        <color theme="2" tint="-0.4999699890613556"/>
      </bottom>
    </border>
    <border>
      <left/>
      <right/>
      <top style="medium">
        <color theme="2" tint="-0.4999699890613556"/>
      </top>
      <bottom style="medium">
        <color theme="2" tint="-0.4999699890613556"/>
      </bottom>
    </border>
    <border>
      <left style="medium">
        <color theme="2" tint="-0.4999699890613556"/>
      </left>
      <right/>
      <top style="thin">
        <color theme="2" tint="-0.4999699890613556"/>
      </top>
      <bottom style="medium">
        <color theme="2" tint="-0.4999699890613556"/>
      </bottom>
    </border>
    <border>
      <left style="medium"/>
      <right/>
      <top style="thin">
        <color theme="2" tint="-0.4999699890613556"/>
      </top>
      <bottom style="thin">
        <color theme="2" tint="-0.4999699890613556"/>
      </bottom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theme="2" tint="-0.4999699890613556"/>
      </left>
      <right style="medium">
        <color theme="2" tint="-0.4999699890613556"/>
      </right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/>
      <right/>
      <top style="medium">
        <color theme="2" tint="-0.4999699890613556"/>
      </top>
      <bottom/>
    </border>
    <border>
      <left/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/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/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medium"/>
      <right style="medium">
        <color theme="2" tint="-0.4999699890613556"/>
      </right>
      <top style="medium">
        <color theme="2" tint="-0.4999699890613556"/>
      </top>
      <bottom/>
    </border>
    <border>
      <left style="medium"/>
      <right style="medium">
        <color theme="2" tint="-0.4999699890613556"/>
      </right>
      <top/>
      <bottom style="medium">
        <color theme="2" tint="-0.4999699890613556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2" fillId="33" borderId="11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/>
    </xf>
    <xf numFmtId="0" fontId="73" fillId="34" borderId="13" xfId="0" applyFont="1" applyFill="1" applyBorder="1" applyAlignment="1">
      <alignment horizontal="center"/>
    </xf>
    <xf numFmtId="0" fontId="73" fillId="3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64" fontId="0" fillId="35" borderId="16" xfId="0" applyNumberFormat="1" applyFill="1" applyBorder="1" applyAlignment="1" applyProtection="1">
      <alignment horizontal="center"/>
      <protection locked="0"/>
    </xf>
    <xf numFmtId="164" fontId="0" fillId="35" borderId="17" xfId="0" applyNumberFormat="1" applyFill="1" applyBorder="1" applyAlignment="1" applyProtection="1">
      <alignment horizontal="center"/>
      <protection locked="0"/>
    </xf>
    <xf numFmtId="164" fontId="0" fillId="36" borderId="18" xfId="0" applyNumberFormat="1" applyFill="1" applyBorder="1" applyAlignment="1" applyProtection="1">
      <alignment horizontal="center"/>
      <protection locked="0"/>
    </xf>
    <xf numFmtId="164" fontId="0" fillId="36" borderId="19" xfId="0" applyNumberFormat="1" applyFill="1" applyBorder="1" applyAlignment="1" applyProtection="1">
      <alignment horizontal="center"/>
      <protection locked="0"/>
    </xf>
    <xf numFmtId="164" fontId="0" fillId="35" borderId="18" xfId="0" applyNumberFormat="1" applyFill="1" applyBorder="1" applyAlignment="1" applyProtection="1">
      <alignment horizontal="center"/>
      <protection locked="0"/>
    </xf>
    <xf numFmtId="164" fontId="0" fillId="35" borderId="19" xfId="0" applyNumberFormat="1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6" borderId="22" xfId="0" applyFill="1" applyBorder="1" applyAlignment="1" applyProtection="1">
      <alignment horizontal="center"/>
      <protection locked="0"/>
    </xf>
    <xf numFmtId="0" fontId="0" fillId="36" borderId="23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49" fontId="0" fillId="36" borderId="22" xfId="0" applyNumberFormat="1" applyFill="1" applyBorder="1" applyAlignment="1" applyProtection="1">
      <alignment horizontal="center"/>
      <protection locked="0"/>
    </xf>
    <xf numFmtId="49" fontId="0" fillId="35" borderId="22" xfId="0" applyNumberFormat="1" applyFill="1" applyBorder="1" applyAlignment="1" applyProtection="1">
      <alignment horizontal="center"/>
      <protection locked="0"/>
    </xf>
    <xf numFmtId="49" fontId="0" fillId="36" borderId="24" xfId="0" applyNumberFormat="1" applyFill="1" applyBorder="1" applyAlignment="1" applyProtection="1">
      <alignment horizontal="center"/>
      <protection locked="0"/>
    </xf>
    <xf numFmtId="0" fontId="0" fillId="36" borderId="25" xfId="0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horizontal="center"/>
      <protection locked="0"/>
    </xf>
    <xf numFmtId="164" fontId="0" fillId="37" borderId="26" xfId="0" applyNumberFormat="1" applyFill="1" applyBorder="1" applyAlignment="1" applyProtection="1">
      <alignment horizontal="center"/>
      <protection locked="0"/>
    </xf>
    <xf numFmtId="164" fontId="0" fillId="37" borderId="27" xfId="0" applyNumberFormat="1" applyFill="1" applyBorder="1" applyAlignment="1" applyProtection="1">
      <alignment horizontal="center"/>
      <protection locked="0"/>
    </xf>
    <xf numFmtId="0" fontId="0" fillId="37" borderId="27" xfId="0" applyFill="1" applyBorder="1" applyAlignment="1" applyProtection="1">
      <alignment horizontal="center"/>
      <protection locked="0"/>
    </xf>
    <xf numFmtId="164" fontId="0" fillId="37" borderId="28" xfId="0" applyNumberFormat="1" applyFill="1" applyBorder="1" applyAlignment="1" applyProtection="1">
      <alignment horizontal="center"/>
      <protection locked="0"/>
    </xf>
    <xf numFmtId="164" fontId="0" fillId="37" borderId="1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64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 horizontal="center" vertical="center" wrapText="1"/>
    </xf>
    <xf numFmtId="164" fontId="0" fillId="38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3" fillId="38" borderId="0" xfId="0" applyFont="1" applyFill="1" applyBorder="1" applyAlignment="1">
      <alignment/>
    </xf>
    <xf numFmtId="0" fontId="74" fillId="38" borderId="0" xfId="0" applyFont="1" applyFill="1" applyBorder="1" applyAlignment="1">
      <alignment horizontal="center"/>
    </xf>
    <xf numFmtId="0" fontId="12" fillId="38" borderId="0" xfId="0" applyFont="1" applyFill="1" applyBorder="1" applyAlignment="1">
      <alignment horizontal="center"/>
    </xf>
    <xf numFmtId="0" fontId="12" fillId="38" borderId="0" xfId="0" applyFont="1" applyFill="1" applyBorder="1" applyAlignment="1" applyProtection="1">
      <alignment horizontal="center"/>
      <protection locked="0"/>
    </xf>
    <xf numFmtId="0" fontId="12" fillId="38" borderId="0" xfId="0" applyFont="1" applyFill="1" applyBorder="1" applyAlignment="1">
      <alignment/>
    </xf>
    <xf numFmtId="0" fontId="75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0" fillId="38" borderId="0" xfId="0" applyFill="1" applyBorder="1" applyAlignment="1" applyProtection="1">
      <alignment horizontal="center"/>
      <protection locked="0"/>
    </xf>
    <xf numFmtId="0" fontId="76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wrapText="1"/>
    </xf>
    <xf numFmtId="0" fontId="0" fillId="38" borderId="0" xfId="0" applyFill="1" applyBorder="1" applyAlignment="1">
      <alignment vertical="top" wrapText="1"/>
    </xf>
    <xf numFmtId="0" fontId="0" fillId="38" borderId="0" xfId="0" applyFill="1" applyBorder="1" applyAlignment="1">
      <alignment horizontal="left"/>
    </xf>
    <xf numFmtId="0" fontId="13" fillId="38" borderId="0" xfId="0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77" fillId="38" borderId="0" xfId="0" applyFont="1" applyFill="1" applyBorder="1" applyAlignment="1">
      <alignment horizontal="left"/>
    </xf>
    <xf numFmtId="0" fontId="77" fillId="38" borderId="0" xfId="0" applyFont="1" applyFill="1" applyBorder="1" applyAlignment="1">
      <alignment/>
    </xf>
    <xf numFmtId="0" fontId="78" fillId="38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7" fillId="38" borderId="0" xfId="0" applyFont="1" applyFill="1" applyBorder="1" applyAlignment="1">
      <alignment/>
    </xf>
    <xf numFmtId="0" fontId="79" fillId="38" borderId="0" xfId="0" applyFont="1" applyFill="1" applyBorder="1" applyAlignment="1">
      <alignment wrapText="1"/>
    </xf>
    <xf numFmtId="0" fontId="0" fillId="35" borderId="29" xfId="0" applyFont="1" applyFill="1" applyBorder="1" applyAlignment="1" applyProtection="1">
      <alignment horizontal="right"/>
      <protection locked="0"/>
    </xf>
    <xf numFmtId="0" fontId="0" fillId="37" borderId="30" xfId="0" applyFont="1" applyFill="1" applyBorder="1" applyAlignment="1" applyProtection="1">
      <alignment horizontal="right"/>
      <protection locked="0"/>
    </xf>
    <xf numFmtId="0" fontId="0" fillId="36" borderId="29" xfId="0" applyFont="1" applyFill="1" applyBorder="1" applyAlignment="1" applyProtection="1">
      <alignment horizontal="right"/>
      <protection locked="0"/>
    </xf>
    <xf numFmtId="0" fontId="0" fillId="37" borderId="31" xfId="0" applyFont="1" applyFill="1" applyBorder="1" applyAlignment="1" applyProtection="1">
      <alignment horizontal="right"/>
      <protection locked="0"/>
    </xf>
    <xf numFmtId="0" fontId="0" fillId="38" borderId="0" xfId="0" applyFont="1" applyFill="1" applyBorder="1" applyAlignment="1">
      <alignment horizontal="left"/>
    </xf>
    <xf numFmtId="0" fontId="0" fillId="38" borderId="0" xfId="0" applyFill="1" applyBorder="1" applyAlignment="1">
      <alignment/>
    </xf>
    <xf numFmtId="0" fontId="0" fillId="38" borderId="13" xfId="0" applyFill="1" applyBorder="1" applyAlignment="1">
      <alignment horizontal="left"/>
    </xf>
    <xf numFmtId="0" fontId="80" fillId="0" borderId="0" xfId="0" applyFont="1" applyAlignment="1" applyProtection="1">
      <alignment/>
      <protection locked="0"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80" fillId="34" borderId="32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0" fillId="0" borderId="0" xfId="0" applyFont="1" applyBorder="1" applyAlignment="1" applyProtection="1">
      <alignment/>
      <protection locked="0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64" fontId="0" fillId="37" borderId="35" xfId="0" applyNumberFormat="1" applyFill="1" applyBorder="1" applyAlignment="1" applyProtection="1">
      <alignment horizontal="center"/>
      <protection locked="0"/>
    </xf>
    <xf numFmtId="164" fontId="0" fillId="35" borderId="36" xfId="0" applyNumberFormat="1" applyFill="1" applyBorder="1" applyAlignment="1" applyProtection="1">
      <alignment horizontal="center"/>
      <protection locked="0"/>
    </xf>
    <xf numFmtId="0" fontId="13" fillId="0" borderId="35" xfId="0" applyFont="1" applyBorder="1" applyAlignment="1">
      <alignment horizontal="center"/>
    </xf>
    <xf numFmtId="0" fontId="81" fillId="38" borderId="0" xfId="0" applyFont="1" applyFill="1" applyBorder="1" applyAlignment="1">
      <alignment/>
    </xf>
    <xf numFmtId="0" fontId="82" fillId="38" borderId="0" xfId="0" applyFont="1" applyFill="1" applyBorder="1" applyAlignment="1">
      <alignment vertical="center"/>
    </xf>
    <xf numFmtId="0" fontId="83" fillId="38" borderId="0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0" fillId="39" borderId="0" xfId="0" applyFill="1" applyBorder="1" applyAlignment="1">
      <alignment/>
    </xf>
    <xf numFmtId="164" fontId="13" fillId="39" borderId="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ont="1" applyFill="1" applyBorder="1" applyAlignment="1">
      <alignment vertical="center"/>
    </xf>
    <xf numFmtId="0" fontId="0" fillId="38" borderId="0" xfId="0" applyFill="1" applyBorder="1" applyAlignment="1">
      <alignment horizontal="center" vertical="center"/>
    </xf>
    <xf numFmtId="0" fontId="0" fillId="39" borderId="0" xfId="0" applyFill="1" applyAlignment="1">
      <alignment/>
    </xf>
    <xf numFmtId="0" fontId="84" fillId="39" borderId="0" xfId="0" applyFont="1" applyFill="1" applyBorder="1" applyAlignment="1">
      <alignment vertical="center"/>
    </xf>
    <xf numFmtId="0" fontId="0" fillId="39" borderId="13" xfId="0" applyFont="1" applyFill="1" applyBorder="1" applyAlignment="1">
      <alignment vertical="center" wrapText="1"/>
    </xf>
    <xf numFmtId="0" fontId="0" fillId="39" borderId="0" xfId="0" applyFill="1" applyBorder="1" applyAlignment="1">
      <alignment vertical="center"/>
    </xf>
    <xf numFmtId="0" fontId="85" fillId="40" borderId="37" xfId="0" applyFont="1" applyFill="1" applyBorder="1" applyAlignment="1">
      <alignment horizontal="left"/>
    </xf>
    <xf numFmtId="0" fontId="85" fillId="40" borderId="12" xfId="0" applyFont="1" applyFill="1" applyBorder="1" applyAlignment="1">
      <alignment horizontal="left"/>
    </xf>
    <xf numFmtId="0" fontId="85" fillId="41" borderId="38" xfId="0" applyFont="1" applyFill="1" applyBorder="1" applyAlignment="1">
      <alignment horizontal="left"/>
    </xf>
    <xf numFmtId="0" fontId="85" fillId="41" borderId="39" xfId="0" applyFont="1" applyFill="1" applyBorder="1" applyAlignment="1">
      <alignment horizontal="left"/>
    </xf>
    <xf numFmtId="0" fontId="6" fillId="35" borderId="40" xfId="0" applyFont="1" applyFill="1" applyBorder="1" applyAlignment="1">
      <alignment/>
    </xf>
    <xf numFmtId="49" fontId="6" fillId="35" borderId="41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6" fillId="42" borderId="42" xfId="0" applyFont="1" applyFill="1" applyBorder="1" applyAlignment="1">
      <alignment horizontal="center" vertical="center"/>
    </xf>
    <xf numFmtId="0" fontId="6" fillId="42" borderId="42" xfId="0" applyFont="1" applyFill="1" applyBorder="1" applyAlignment="1">
      <alignment horizontal="center"/>
    </xf>
    <xf numFmtId="164" fontId="86" fillId="36" borderId="43" xfId="0" applyNumberFormat="1" applyFont="1" applyFill="1" applyBorder="1" applyAlignment="1">
      <alignment horizontal="center"/>
    </xf>
    <xf numFmtId="0" fontId="86" fillId="36" borderId="44" xfId="0" applyFont="1" applyFill="1" applyBorder="1" applyAlignment="1">
      <alignment/>
    </xf>
    <xf numFmtId="0" fontId="80" fillId="35" borderId="0" xfId="0" applyFont="1" applyFill="1" applyBorder="1" applyAlignment="1" applyProtection="1">
      <alignment/>
      <protection locked="0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80" fillId="34" borderId="42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>
      <alignment horizontal="right"/>
    </xf>
    <xf numFmtId="0" fontId="0" fillId="35" borderId="41" xfId="0" applyFont="1" applyFill="1" applyBorder="1" applyAlignment="1">
      <alignment/>
    </xf>
    <xf numFmtId="0" fontId="87" fillId="35" borderId="47" xfId="0" applyFont="1" applyFill="1" applyBorder="1" applyAlignment="1" applyProtection="1">
      <alignment horizontal="center" vertical="center"/>
      <protection locked="0"/>
    </xf>
    <xf numFmtId="0" fontId="88" fillId="37" borderId="17" xfId="0" applyFont="1" applyFill="1" applyBorder="1" applyAlignment="1" applyProtection="1">
      <alignment horizontal="center" vertical="center"/>
      <protection locked="0"/>
    </xf>
    <xf numFmtId="0" fontId="89" fillId="35" borderId="48" xfId="0" applyFont="1" applyFill="1" applyBorder="1" applyAlignment="1" applyProtection="1">
      <alignment horizontal="center" vertical="center"/>
      <protection locked="0"/>
    </xf>
    <xf numFmtId="0" fontId="85" fillId="37" borderId="49" xfId="0" applyFont="1" applyFill="1" applyBorder="1" applyAlignment="1" applyProtection="1">
      <alignment horizontal="center" vertical="center"/>
      <protection locked="0"/>
    </xf>
    <xf numFmtId="0" fontId="89" fillId="35" borderId="50" xfId="0" applyFont="1" applyFill="1" applyBorder="1" applyAlignment="1" applyProtection="1">
      <alignment horizontal="center" vertical="center"/>
      <protection locked="0"/>
    </xf>
    <xf numFmtId="0" fontId="85" fillId="37" borderId="36" xfId="0" applyFont="1" applyFill="1" applyBorder="1" applyAlignment="1" applyProtection="1">
      <alignment horizontal="center" vertical="center"/>
      <protection locked="0"/>
    </xf>
    <xf numFmtId="0" fontId="89" fillId="35" borderId="12" xfId="0" applyFont="1" applyFill="1" applyBorder="1" applyAlignment="1" applyProtection="1">
      <alignment horizontal="center" vertical="center"/>
      <protection locked="0"/>
    </xf>
    <xf numFmtId="2" fontId="85" fillId="37" borderId="14" xfId="0" applyNumberFormat="1" applyFont="1" applyFill="1" applyBorder="1" applyAlignment="1" applyProtection="1">
      <alignment horizontal="center" vertical="center"/>
      <protection locked="0"/>
    </xf>
    <xf numFmtId="164" fontId="87" fillId="35" borderId="35" xfId="0" applyNumberFormat="1" applyFont="1" applyFill="1" applyBorder="1" applyAlignment="1" applyProtection="1">
      <alignment horizontal="center" vertical="center"/>
      <protection locked="0"/>
    </xf>
    <xf numFmtId="164" fontId="88" fillId="14" borderId="35" xfId="0" applyNumberFormat="1" applyFont="1" applyFill="1" applyBorder="1" applyAlignment="1" applyProtection="1">
      <alignment horizontal="center" vertical="center"/>
      <protection locked="0"/>
    </xf>
    <xf numFmtId="164" fontId="89" fillId="0" borderId="51" xfId="0" applyNumberFormat="1" applyFont="1" applyBorder="1" applyAlignment="1" applyProtection="1">
      <alignment horizontal="right"/>
      <protection locked="0"/>
    </xf>
    <xf numFmtId="0" fontId="89" fillId="0" borderId="52" xfId="0" applyFont="1" applyBorder="1" applyAlignment="1" applyProtection="1">
      <alignment horizontal="left"/>
      <protection locked="0"/>
    </xf>
    <xf numFmtId="2" fontId="88" fillId="14" borderId="51" xfId="0" applyNumberFormat="1" applyFont="1" applyFill="1" applyBorder="1" applyAlignment="1" applyProtection="1">
      <alignment horizontal="right"/>
      <protection locked="0"/>
    </xf>
    <xf numFmtId="0" fontId="88" fillId="14" borderId="11" xfId="0" applyFont="1" applyFill="1" applyBorder="1" applyAlignment="1" applyProtection="1">
      <alignment horizontal="left"/>
      <protection locked="0"/>
    </xf>
    <xf numFmtId="0" fontId="87" fillId="35" borderId="28" xfId="0" applyFont="1" applyFill="1" applyBorder="1" applyAlignment="1" applyProtection="1">
      <alignment horizontal="center"/>
      <protection locked="0"/>
    </xf>
    <xf numFmtId="1" fontId="87" fillId="35" borderId="35" xfId="0" applyNumberFormat="1" applyFont="1" applyFill="1" applyBorder="1" applyAlignment="1" applyProtection="1">
      <alignment horizontal="center"/>
      <protection locked="0"/>
    </xf>
    <xf numFmtId="0" fontId="0" fillId="43" borderId="38" xfId="0" applyFont="1" applyFill="1" applyBorder="1" applyAlignment="1" applyProtection="1">
      <alignment/>
      <protection locked="0"/>
    </xf>
    <xf numFmtId="0" fontId="0" fillId="43" borderId="40" xfId="0" applyFill="1" applyBorder="1" applyAlignment="1" applyProtection="1">
      <alignment/>
      <protection locked="0"/>
    </xf>
    <xf numFmtId="0" fontId="0" fillId="43" borderId="40" xfId="0" applyFont="1" applyFill="1" applyBorder="1" applyAlignment="1" applyProtection="1">
      <alignment/>
      <protection locked="0"/>
    </xf>
    <xf numFmtId="0" fontId="0" fillId="37" borderId="53" xfId="0" applyFont="1" applyFill="1" applyBorder="1" applyAlignment="1" applyProtection="1">
      <alignment/>
      <protection locked="0"/>
    </xf>
    <xf numFmtId="0" fontId="85" fillId="40" borderId="30" xfId="0" applyFont="1" applyFill="1" applyBorder="1" applyAlignment="1" applyProtection="1">
      <alignment/>
      <protection locked="0"/>
    </xf>
    <xf numFmtId="0" fontId="85" fillId="40" borderId="54" xfId="0" applyFont="1" applyFill="1" applyBorder="1" applyAlignment="1" applyProtection="1">
      <alignment/>
      <protection locked="0"/>
    </xf>
    <xf numFmtId="0" fontId="85" fillId="41" borderId="54" xfId="0" applyFont="1" applyFill="1" applyBorder="1" applyAlignment="1" applyProtection="1">
      <alignment/>
      <protection locked="0"/>
    </xf>
    <xf numFmtId="0" fontId="85" fillId="41" borderId="29" xfId="0" applyFont="1" applyFill="1" applyBorder="1" applyAlignment="1" applyProtection="1">
      <alignment/>
      <protection locked="0"/>
    </xf>
    <xf numFmtId="0" fontId="0" fillId="43" borderId="53" xfId="0" applyFont="1" applyFill="1" applyBorder="1" applyAlignment="1" applyProtection="1">
      <alignment/>
      <protection locked="0"/>
    </xf>
    <xf numFmtId="0" fontId="86" fillId="36" borderId="55" xfId="0" applyFont="1" applyFill="1" applyBorder="1" applyAlignment="1" applyProtection="1">
      <alignment horizontal="center" vertical="center"/>
      <protection locked="0"/>
    </xf>
    <xf numFmtId="0" fontId="86" fillId="36" borderId="56" xfId="0" applyFont="1" applyFill="1" applyBorder="1" applyAlignment="1" applyProtection="1">
      <alignment horizontal="left" vertical="center"/>
      <protection locked="0"/>
    </xf>
    <xf numFmtId="166" fontId="86" fillId="36" borderId="57" xfId="0" applyNumberFormat="1" applyFont="1" applyFill="1" applyBorder="1" applyAlignment="1" applyProtection="1">
      <alignment horizontal="center"/>
      <protection locked="0"/>
    </xf>
    <xf numFmtId="0" fontId="86" fillId="36" borderId="58" xfId="0" applyFont="1" applyFill="1" applyBorder="1" applyAlignment="1" applyProtection="1">
      <alignment/>
      <protection locked="0"/>
    </xf>
    <xf numFmtId="0" fontId="86" fillId="36" borderId="57" xfId="0" applyFont="1" applyFill="1" applyBorder="1" applyAlignment="1" applyProtection="1">
      <alignment horizontal="center"/>
      <protection locked="0"/>
    </xf>
    <xf numFmtId="0" fontId="0" fillId="36" borderId="16" xfId="0" applyFont="1" applyFill="1" applyBorder="1" applyAlignment="1" applyProtection="1">
      <alignment horizontal="right"/>
      <protection/>
    </xf>
    <xf numFmtId="1" fontId="0" fillId="36" borderId="17" xfId="0" applyNumberFormat="1" applyFill="1" applyBorder="1" applyAlignment="1" applyProtection="1">
      <alignment horizontal="center"/>
      <protection/>
    </xf>
    <xf numFmtId="0" fontId="0" fillId="37" borderId="59" xfId="0" applyFont="1" applyFill="1" applyBorder="1" applyAlignment="1" applyProtection="1">
      <alignment horizontal="right"/>
      <protection/>
    </xf>
    <xf numFmtId="1" fontId="0" fillId="37" borderId="36" xfId="0" applyNumberForma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right"/>
      <protection/>
    </xf>
    <xf numFmtId="1" fontId="0" fillId="0" borderId="19" xfId="0" applyNumberFormat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right"/>
      <protection/>
    </xf>
    <xf numFmtId="1" fontId="0" fillId="37" borderId="27" xfId="0" applyNumberFormat="1" applyFill="1" applyBorder="1" applyAlignment="1" applyProtection="1">
      <alignment horizontal="center"/>
      <protection/>
    </xf>
    <xf numFmtId="0" fontId="0" fillId="36" borderId="59" xfId="0" applyFont="1" applyFill="1" applyBorder="1" applyAlignment="1" applyProtection="1">
      <alignment horizontal="right"/>
      <protection/>
    </xf>
    <xf numFmtId="1" fontId="0" fillId="36" borderId="36" xfId="0" applyNumberFormat="1" applyFill="1" applyBorder="1" applyAlignment="1" applyProtection="1">
      <alignment horizontal="center"/>
      <protection/>
    </xf>
    <xf numFmtId="3" fontId="0" fillId="0" borderId="19" xfId="0" applyNumberFormat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 horizontal="center"/>
      <protection/>
    </xf>
    <xf numFmtId="0" fontId="0" fillId="36" borderId="22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Alignment="1" applyProtection="1">
      <alignment horizontal="left"/>
      <protection/>
    </xf>
    <xf numFmtId="0" fontId="90" fillId="0" borderId="0" xfId="0" applyFont="1" applyAlignment="1" applyProtection="1">
      <alignment/>
      <protection/>
    </xf>
    <xf numFmtId="0" fontId="80" fillId="0" borderId="0" xfId="0" applyFont="1" applyAlignment="1" applyProtection="1">
      <alignment horizontal="center"/>
      <protection/>
    </xf>
    <xf numFmtId="49" fontId="80" fillId="0" borderId="0" xfId="0" applyNumberFormat="1" applyFont="1" applyAlignment="1" applyProtection="1">
      <alignment/>
      <protection/>
    </xf>
    <xf numFmtId="0" fontId="91" fillId="35" borderId="0" xfId="0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0" fontId="92" fillId="0" borderId="0" xfId="0" applyFont="1" applyFill="1" applyBorder="1" applyAlignment="1" applyProtection="1">
      <alignment/>
      <protection locked="0"/>
    </xf>
    <xf numFmtId="0" fontId="91" fillId="35" borderId="0" xfId="0" applyFont="1" applyFill="1" applyBorder="1" applyAlignment="1" applyProtection="1">
      <alignment horizontal="center" vertical="center"/>
      <protection/>
    </xf>
    <xf numFmtId="0" fontId="80" fillId="0" borderId="0" xfId="0" applyFont="1" applyFill="1" applyBorder="1" applyAlignment="1" applyProtection="1">
      <alignment/>
      <protection/>
    </xf>
    <xf numFmtId="0" fontId="91" fillId="35" borderId="0" xfId="0" applyFont="1" applyFill="1" applyBorder="1" applyAlignment="1" applyProtection="1">
      <alignment horizontal="center"/>
      <protection/>
    </xf>
    <xf numFmtId="0" fontId="80" fillId="35" borderId="0" xfId="0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 horizontal="left"/>
      <protection locked="0"/>
    </xf>
    <xf numFmtId="0" fontId="80" fillId="0" borderId="0" xfId="0" applyFont="1" applyFill="1" applyBorder="1" applyAlignment="1" applyProtection="1">
      <alignment horizontal="left"/>
      <protection/>
    </xf>
    <xf numFmtId="165" fontId="80" fillId="0" borderId="0" xfId="0" applyNumberFormat="1" applyFont="1" applyFill="1" applyBorder="1" applyAlignment="1" applyProtection="1">
      <alignment horizontal="left"/>
      <protection locked="0"/>
    </xf>
    <xf numFmtId="0" fontId="80" fillId="35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80" fillId="44" borderId="0" xfId="0" applyFont="1" applyFill="1" applyBorder="1" applyAlignment="1" applyProtection="1">
      <alignment/>
      <protection/>
    </xf>
    <xf numFmtId="0" fontId="80" fillId="44" borderId="0" xfId="0" applyFont="1" applyFill="1" applyBorder="1" applyAlignment="1" applyProtection="1">
      <alignment horizontal="center"/>
      <protection/>
    </xf>
    <xf numFmtId="0" fontId="93" fillId="8" borderId="60" xfId="0" applyFont="1" applyFill="1" applyBorder="1" applyAlignment="1">
      <alignment horizontal="center" vertical="center"/>
    </xf>
    <xf numFmtId="0" fontId="80" fillId="8" borderId="61" xfId="0" applyFont="1" applyFill="1" applyBorder="1" applyAlignment="1" applyProtection="1">
      <alignment/>
      <protection locked="0"/>
    </xf>
    <xf numFmtId="0" fontId="93" fillId="8" borderId="33" xfId="0" applyFont="1" applyFill="1" applyBorder="1" applyAlignment="1">
      <alignment horizontal="center" vertical="center"/>
    </xf>
    <xf numFmtId="0" fontId="80" fillId="8" borderId="62" xfId="0" applyFont="1" applyFill="1" applyBorder="1" applyAlignment="1" applyProtection="1">
      <alignment/>
      <protection locked="0"/>
    </xf>
    <xf numFmtId="0" fontId="80" fillId="35" borderId="0" xfId="0" applyFont="1" applyFill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94" fillId="45" borderId="60" xfId="0" applyFont="1" applyFill="1" applyBorder="1" applyAlignment="1" applyProtection="1">
      <alignment vertical="top" wrapText="1"/>
      <protection locked="0"/>
    </xf>
    <xf numFmtId="0" fontId="94" fillId="45" borderId="0" xfId="0" applyFont="1" applyFill="1" applyAlignment="1" applyProtection="1">
      <alignment vertical="top" wrapText="1"/>
      <protection locked="0"/>
    </xf>
    <xf numFmtId="0" fontId="94" fillId="45" borderId="33" xfId="0" applyFont="1" applyFill="1" applyBorder="1" applyAlignment="1" applyProtection="1">
      <alignment vertical="top" wrapText="1"/>
      <protection locked="0"/>
    </xf>
    <xf numFmtId="0" fontId="94" fillId="45" borderId="0" xfId="0" applyFont="1" applyFill="1" applyAlignment="1" applyProtection="1">
      <alignment horizontal="right" vertical="center" wrapText="1"/>
      <protection locked="0"/>
    </xf>
    <xf numFmtId="0" fontId="94" fillId="45" borderId="33" xfId="0" applyFont="1" applyFill="1" applyBorder="1" applyAlignment="1" applyProtection="1">
      <alignment horizontal="right" vertical="center" wrapText="1"/>
      <protection locked="0"/>
    </xf>
    <xf numFmtId="0" fontId="88" fillId="45" borderId="60" xfId="0" applyFont="1" applyFill="1" applyBorder="1" applyAlignment="1" applyProtection="1">
      <alignment horizontal="left"/>
      <protection locked="0"/>
    </xf>
    <xf numFmtId="0" fontId="93" fillId="8" borderId="10" xfId="0" applyFont="1" applyFill="1" applyBorder="1" applyAlignment="1" applyProtection="1">
      <alignment horizontal="center" vertical="center"/>
      <protection locked="0"/>
    </xf>
    <xf numFmtId="0" fontId="93" fillId="8" borderId="60" xfId="0" applyFont="1" applyFill="1" applyBorder="1" applyAlignment="1" applyProtection="1">
      <alignment horizontal="center" vertical="center"/>
      <protection locked="0"/>
    </xf>
    <xf numFmtId="0" fontId="93" fillId="8" borderId="34" xfId="0" applyFont="1" applyFill="1" applyBorder="1" applyAlignment="1" applyProtection="1">
      <alignment horizontal="center" vertical="center"/>
      <protection locked="0"/>
    </xf>
    <xf numFmtId="0" fontId="93" fillId="8" borderId="33" xfId="0" applyFont="1" applyFill="1" applyBorder="1" applyAlignment="1" applyProtection="1">
      <alignment horizontal="center" vertical="center"/>
      <protection locked="0"/>
    </xf>
    <xf numFmtId="0" fontId="80" fillId="40" borderId="50" xfId="0" applyFont="1" applyFill="1" applyBorder="1" applyAlignment="1">
      <alignment horizontal="center" wrapText="1"/>
    </xf>
    <xf numFmtId="0" fontId="80" fillId="40" borderId="12" xfId="0" applyFont="1" applyFill="1" applyBorder="1" applyAlignment="1">
      <alignment horizontal="center" wrapText="1"/>
    </xf>
    <xf numFmtId="0" fontId="95" fillId="46" borderId="63" xfId="0" applyFont="1" applyFill="1" applyBorder="1" applyAlignment="1" applyProtection="1">
      <alignment horizontal="right" vertical="center"/>
      <protection locked="0"/>
    </xf>
    <xf numFmtId="0" fontId="95" fillId="46" borderId="64" xfId="0" applyFont="1" applyFill="1" applyBorder="1" applyAlignment="1" applyProtection="1">
      <alignment horizontal="right" vertical="center"/>
      <protection locked="0"/>
    </xf>
    <xf numFmtId="0" fontId="95" fillId="46" borderId="65" xfId="0" applyFont="1" applyFill="1" applyBorder="1" applyAlignment="1" applyProtection="1">
      <alignment horizontal="right"/>
      <protection locked="0"/>
    </xf>
    <xf numFmtId="0" fontId="95" fillId="46" borderId="66" xfId="0" applyFont="1" applyFill="1" applyBorder="1" applyAlignment="1" applyProtection="1">
      <alignment horizontal="right"/>
      <protection locked="0"/>
    </xf>
    <xf numFmtId="0" fontId="96" fillId="47" borderId="45" xfId="0" applyFont="1" applyFill="1" applyBorder="1" applyAlignment="1">
      <alignment horizontal="center"/>
    </xf>
    <xf numFmtId="0" fontId="96" fillId="47" borderId="46" xfId="0" applyFont="1" applyFill="1" applyBorder="1" applyAlignment="1">
      <alignment horizontal="center"/>
    </xf>
    <xf numFmtId="0" fontId="96" fillId="47" borderId="67" xfId="0" applyFont="1" applyFill="1" applyBorder="1" applyAlignment="1">
      <alignment horizontal="center"/>
    </xf>
    <xf numFmtId="0" fontId="97" fillId="46" borderId="45" xfId="0" applyFont="1" applyFill="1" applyBorder="1" applyAlignment="1" applyProtection="1">
      <alignment horizontal="right" vertical="center"/>
      <protection locked="0"/>
    </xf>
    <xf numFmtId="0" fontId="97" fillId="46" borderId="46" xfId="0" applyFont="1" applyFill="1" applyBorder="1" applyAlignment="1" applyProtection="1">
      <alignment horizontal="right" vertical="center"/>
      <protection locked="0"/>
    </xf>
    <xf numFmtId="0" fontId="97" fillId="46" borderId="67" xfId="0" applyFont="1" applyFill="1" applyBorder="1" applyAlignment="1" applyProtection="1">
      <alignment horizontal="right" vertical="center"/>
      <protection locked="0"/>
    </xf>
    <xf numFmtId="0" fontId="6" fillId="35" borderId="68" xfId="0" applyFont="1" applyFill="1" applyBorder="1" applyAlignment="1">
      <alignment horizontal="center"/>
    </xf>
    <xf numFmtId="0" fontId="6" fillId="35" borderId="69" xfId="0" applyFont="1" applyFill="1" applyBorder="1" applyAlignment="1">
      <alignment horizontal="center"/>
    </xf>
    <xf numFmtId="0" fontId="6" fillId="37" borderId="68" xfId="0" applyFont="1" applyFill="1" applyBorder="1" applyAlignment="1">
      <alignment horizontal="center"/>
    </xf>
    <xf numFmtId="0" fontId="6" fillId="37" borderId="69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85" fillId="40" borderId="70" xfId="0" applyFont="1" applyFill="1" applyBorder="1" applyAlignment="1">
      <alignment horizontal="center" wrapText="1"/>
    </xf>
    <xf numFmtId="0" fontId="85" fillId="40" borderId="36" xfId="0" applyFont="1" applyFill="1" applyBorder="1" applyAlignment="1">
      <alignment horizontal="center" wrapText="1"/>
    </xf>
    <xf numFmtId="0" fontId="90" fillId="45" borderId="47" xfId="0" applyFont="1" applyFill="1" applyBorder="1" applyAlignment="1" applyProtection="1">
      <alignment horizontal="center" vertical="center"/>
      <protection locked="0"/>
    </xf>
    <xf numFmtId="0" fontId="90" fillId="45" borderId="70" xfId="0" applyFont="1" applyFill="1" applyBorder="1" applyAlignment="1" applyProtection="1">
      <alignment horizontal="center" vertical="center"/>
      <protection locked="0"/>
    </xf>
    <xf numFmtId="0" fontId="90" fillId="45" borderId="17" xfId="0" applyFont="1" applyFill="1" applyBorder="1" applyAlignment="1" applyProtection="1">
      <alignment horizontal="center" vertical="center"/>
      <protection locked="0"/>
    </xf>
    <xf numFmtId="0" fontId="6" fillId="35" borderId="40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7" borderId="53" xfId="0" applyFont="1" applyFill="1" applyBorder="1" applyAlignment="1">
      <alignment horizontal="center"/>
    </xf>
    <xf numFmtId="0" fontId="6" fillId="37" borderId="71" xfId="0" applyFont="1" applyFill="1" applyBorder="1" applyAlignment="1">
      <alignment horizontal="center"/>
    </xf>
    <xf numFmtId="0" fontId="80" fillId="41" borderId="47" xfId="0" applyFont="1" applyFill="1" applyBorder="1" applyAlignment="1">
      <alignment horizontal="center" vertical="center" wrapText="1"/>
    </xf>
    <xf numFmtId="0" fontId="80" fillId="41" borderId="5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 applyProtection="1">
      <alignment horizontal="center"/>
      <protection/>
    </xf>
    <xf numFmtId="0" fontId="6" fillId="36" borderId="11" xfId="0" applyFont="1" applyFill="1" applyBorder="1" applyAlignment="1" applyProtection="1">
      <alignment horizontal="center"/>
      <protection/>
    </xf>
    <xf numFmtId="0" fontId="6" fillId="35" borderId="40" xfId="0" applyFont="1" applyFill="1" applyBorder="1" applyAlignment="1">
      <alignment horizontal="left"/>
    </xf>
    <xf numFmtId="0" fontId="6" fillId="35" borderId="41" xfId="0" applyFont="1" applyFill="1" applyBorder="1" applyAlignment="1">
      <alignment horizontal="left"/>
    </xf>
    <xf numFmtId="49" fontId="6" fillId="35" borderId="40" xfId="0" applyNumberFormat="1" applyFont="1" applyFill="1" applyBorder="1" applyAlignment="1">
      <alignment horizontal="center"/>
    </xf>
    <xf numFmtId="49" fontId="6" fillId="35" borderId="41" xfId="0" applyNumberFormat="1" applyFont="1" applyFill="1" applyBorder="1" applyAlignment="1">
      <alignment horizontal="center"/>
    </xf>
    <xf numFmtId="0" fontId="6" fillId="35" borderId="72" xfId="0" applyFont="1" applyFill="1" applyBorder="1" applyAlignment="1">
      <alignment horizontal="left"/>
    </xf>
    <xf numFmtId="0" fontId="6" fillId="35" borderId="73" xfId="0" applyFont="1" applyFill="1" applyBorder="1" applyAlignment="1">
      <alignment horizontal="left"/>
    </xf>
    <xf numFmtId="0" fontId="6" fillId="35" borderId="74" xfId="0" applyFont="1" applyFill="1" applyBorder="1" applyAlignment="1">
      <alignment horizontal="center"/>
    </xf>
    <xf numFmtId="0" fontId="6" fillId="35" borderId="75" xfId="0" applyFont="1" applyFill="1" applyBorder="1" applyAlignment="1">
      <alignment horizontal="center"/>
    </xf>
    <xf numFmtId="0" fontId="0" fillId="43" borderId="51" xfId="0" applyFont="1" applyFill="1" applyBorder="1" applyAlignment="1" applyProtection="1">
      <alignment horizontal="center"/>
      <protection locked="0"/>
    </xf>
    <xf numFmtId="0" fontId="0" fillId="43" borderId="52" xfId="0" applyFont="1" applyFill="1" applyBorder="1" applyAlignment="1" applyProtection="1">
      <alignment horizontal="center"/>
      <protection locked="0"/>
    </xf>
    <xf numFmtId="0" fontId="0" fillId="43" borderId="11" xfId="0" applyFont="1" applyFill="1" applyBorder="1" applyAlignment="1" applyProtection="1">
      <alignment horizontal="center"/>
      <protection locked="0"/>
    </xf>
    <xf numFmtId="0" fontId="0" fillId="43" borderId="40" xfId="0" applyFont="1" applyFill="1" applyBorder="1" applyAlignment="1" applyProtection="1">
      <alignment horizontal="center" vertical="center"/>
      <protection locked="0"/>
    </xf>
    <xf numFmtId="0" fontId="0" fillId="43" borderId="41" xfId="0" applyFont="1" applyFill="1" applyBorder="1" applyAlignment="1" applyProtection="1">
      <alignment horizontal="center" vertical="center"/>
      <protection locked="0"/>
    </xf>
    <xf numFmtId="0" fontId="80" fillId="45" borderId="52" xfId="0" applyFont="1" applyFill="1" applyBorder="1" applyAlignment="1" applyProtection="1">
      <alignment horizontal="center"/>
      <protection locked="0"/>
    </xf>
    <xf numFmtId="0" fontId="35" fillId="35" borderId="51" xfId="0" applyFont="1" applyFill="1" applyBorder="1" applyAlignment="1">
      <alignment horizontal="center" vertical="center"/>
    </xf>
    <xf numFmtId="0" fontId="35" fillId="35" borderId="52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/>
    </xf>
    <xf numFmtId="0" fontId="85" fillId="40" borderId="13" xfId="0" applyFont="1" applyFill="1" applyBorder="1" applyAlignment="1">
      <alignment horizontal="center" vertical="top" wrapText="1"/>
    </xf>
    <xf numFmtId="0" fontId="85" fillId="40" borderId="14" xfId="0" applyFont="1" applyFill="1" applyBorder="1" applyAlignment="1">
      <alignment horizontal="center" vertical="top" wrapText="1"/>
    </xf>
    <xf numFmtId="0" fontId="85" fillId="41" borderId="70" xfId="0" applyFont="1" applyFill="1" applyBorder="1" applyAlignment="1">
      <alignment horizontal="center" wrapText="1"/>
    </xf>
    <xf numFmtId="0" fontId="85" fillId="41" borderId="17" xfId="0" applyFont="1" applyFill="1" applyBorder="1" applyAlignment="1">
      <alignment horizontal="center" wrapText="1"/>
    </xf>
    <xf numFmtId="0" fontId="85" fillId="41" borderId="0" xfId="0" applyFont="1" applyFill="1" applyBorder="1" applyAlignment="1">
      <alignment horizontal="center" vertical="top" wrapText="1"/>
    </xf>
    <xf numFmtId="0" fontId="85" fillId="41" borderId="36" xfId="0" applyFont="1" applyFill="1" applyBorder="1" applyAlignment="1">
      <alignment horizontal="center" vertical="top" wrapText="1"/>
    </xf>
    <xf numFmtId="0" fontId="0" fillId="43" borderId="38" xfId="0" applyFont="1" applyFill="1" applyBorder="1" applyAlignment="1" applyProtection="1">
      <alignment horizontal="center" vertical="center" wrapText="1"/>
      <protection locked="0"/>
    </xf>
    <xf numFmtId="0" fontId="0" fillId="43" borderId="76" xfId="0" applyFont="1" applyFill="1" applyBorder="1" applyAlignment="1" applyProtection="1">
      <alignment horizontal="center" vertical="center" wrapText="1"/>
      <protection locked="0"/>
    </xf>
    <xf numFmtId="0" fontId="98" fillId="48" borderId="45" xfId="0" applyFont="1" applyFill="1" applyBorder="1" applyAlignment="1" applyProtection="1">
      <alignment horizontal="center" vertical="center" wrapText="1"/>
      <protection locked="0"/>
    </xf>
    <xf numFmtId="0" fontId="98" fillId="48" borderId="46" xfId="0" applyFont="1" applyFill="1" applyBorder="1" applyAlignment="1" applyProtection="1">
      <alignment horizontal="center" vertical="center" wrapText="1"/>
      <protection locked="0"/>
    </xf>
    <xf numFmtId="0" fontId="98" fillId="48" borderId="67" xfId="0" applyFont="1" applyFill="1" applyBorder="1" applyAlignment="1" applyProtection="1">
      <alignment horizontal="center" vertical="center" wrapText="1"/>
      <protection locked="0"/>
    </xf>
    <xf numFmtId="0" fontId="4" fillId="36" borderId="77" xfId="0" applyFont="1" applyFill="1" applyBorder="1" applyAlignment="1" applyProtection="1">
      <alignment horizontal="center" vertical="center"/>
      <protection locked="0"/>
    </xf>
    <xf numFmtId="0" fontId="4" fillId="36" borderId="78" xfId="0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 applyProtection="1">
      <alignment horizontal="center" vertical="center" wrapText="1"/>
      <protection locked="0"/>
    </xf>
    <xf numFmtId="0" fontId="0" fillId="36" borderId="28" xfId="0" applyFont="1" applyFill="1" applyBorder="1" applyAlignment="1" applyProtection="1">
      <alignment horizontal="center" vertical="center" wrapText="1"/>
      <protection locked="0"/>
    </xf>
    <xf numFmtId="0" fontId="99" fillId="36" borderId="51" xfId="0" applyFont="1" applyFill="1" applyBorder="1" applyAlignment="1">
      <alignment horizontal="center"/>
    </xf>
    <xf numFmtId="0" fontId="99" fillId="36" borderId="52" xfId="0" applyFont="1" applyFill="1" applyBorder="1" applyAlignment="1">
      <alignment horizontal="center"/>
    </xf>
    <xf numFmtId="0" fontId="99" fillId="36" borderId="11" xfId="0" applyFont="1" applyFill="1" applyBorder="1" applyAlignment="1">
      <alignment horizontal="center"/>
    </xf>
    <xf numFmtId="0" fontId="100" fillId="0" borderId="47" xfId="0" applyFont="1" applyBorder="1" applyAlignment="1">
      <alignment horizontal="center" wrapText="1"/>
    </xf>
    <xf numFmtId="0" fontId="100" fillId="0" borderId="70" xfId="0" applyFont="1" applyBorder="1" applyAlignment="1">
      <alignment horizontal="center" wrapText="1"/>
    </xf>
    <xf numFmtId="0" fontId="100" fillId="0" borderId="17" xfId="0" applyFont="1" applyBorder="1" applyAlignment="1">
      <alignment horizontal="center" wrapText="1"/>
    </xf>
    <xf numFmtId="0" fontId="100" fillId="0" borderId="12" xfId="0" applyFont="1" applyBorder="1" applyAlignment="1">
      <alignment horizontal="center" wrapText="1"/>
    </xf>
    <xf numFmtId="0" fontId="100" fillId="0" borderId="13" xfId="0" applyFont="1" applyBorder="1" applyAlignment="1">
      <alignment horizontal="center" wrapText="1"/>
    </xf>
    <xf numFmtId="0" fontId="100" fillId="0" borderId="14" xfId="0" applyFont="1" applyBorder="1" applyAlignment="1">
      <alignment horizontal="center" wrapText="1"/>
    </xf>
    <xf numFmtId="0" fontId="89" fillId="36" borderId="45" xfId="0" applyFont="1" applyFill="1" applyBorder="1" applyAlignment="1" applyProtection="1">
      <alignment horizontal="center" vertical="center"/>
      <protection locked="0"/>
    </xf>
    <xf numFmtId="0" fontId="89" fillId="36" borderId="67" xfId="0" applyFont="1" applyFill="1" applyBorder="1" applyAlignment="1" applyProtection="1">
      <alignment horizontal="center" vertical="center"/>
      <protection locked="0"/>
    </xf>
    <xf numFmtId="0" fontId="95" fillId="46" borderId="79" xfId="0" applyFont="1" applyFill="1" applyBorder="1" applyAlignment="1" applyProtection="1">
      <alignment horizontal="right"/>
      <protection locked="0"/>
    </xf>
    <xf numFmtId="0" fontId="95" fillId="46" borderId="80" xfId="0" applyFont="1" applyFill="1" applyBorder="1" applyAlignment="1" applyProtection="1">
      <alignment horizontal="right"/>
      <protection locked="0"/>
    </xf>
    <xf numFmtId="0" fontId="80" fillId="45" borderId="47" xfId="0" applyFont="1" applyFill="1" applyBorder="1" applyAlignment="1" applyProtection="1">
      <alignment horizontal="center" vertical="center" wrapText="1"/>
      <protection locked="0"/>
    </xf>
    <xf numFmtId="0" fontId="80" fillId="45" borderId="70" xfId="0" applyFont="1" applyFill="1" applyBorder="1" applyAlignment="1" applyProtection="1">
      <alignment horizontal="center" vertical="center" wrapText="1"/>
      <protection locked="0"/>
    </xf>
    <xf numFmtId="0" fontId="80" fillId="45" borderId="17" xfId="0" applyFont="1" applyFill="1" applyBorder="1" applyAlignment="1" applyProtection="1">
      <alignment horizontal="center" vertical="center" wrapText="1"/>
      <protection locked="0"/>
    </xf>
    <xf numFmtId="0" fontId="80" fillId="45" borderId="12" xfId="0" applyFont="1" applyFill="1" applyBorder="1" applyAlignment="1" applyProtection="1">
      <alignment horizontal="center" vertical="center" wrapText="1"/>
      <protection locked="0"/>
    </xf>
    <xf numFmtId="0" fontId="80" fillId="45" borderId="13" xfId="0" applyFont="1" applyFill="1" applyBorder="1" applyAlignment="1" applyProtection="1">
      <alignment horizontal="center" vertical="center" wrapText="1"/>
      <protection locked="0"/>
    </xf>
    <xf numFmtId="0" fontId="80" fillId="45" borderId="14" xfId="0" applyFont="1" applyFill="1" applyBorder="1" applyAlignment="1" applyProtection="1">
      <alignment horizontal="center" vertical="center" wrapText="1"/>
      <protection locked="0"/>
    </xf>
    <xf numFmtId="0" fontId="6" fillId="37" borderId="81" xfId="0" applyFont="1" applyFill="1" applyBorder="1" applyAlignment="1">
      <alignment horizontal="center"/>
    </xf>
    <xf numFmtId="0" fontId="6" fillId="37" borderId="82" xfId="0" applyFont="1" applyFill="1" applyBorder="1" applyAlignment="1">
      <alignment horizont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12" fillId="43" borderId="51" xfId="0" applyFont="1" applyFill="1" applyBorder="1" applyAlignment="1" applyProtection="1">
      <alignment horizontal="center"/>
      <protection locked="0"/>
    </xf>
    <xf numFmtId="0" fontId="12" fillId="43" borderId="11" xfId="0" applyFont="1" applyFill="1" applyBorder="1" applyAlignment="1" applyProtection="1">
      <alignment horizontal="center"/>
      <protection locked="0"/>
    </xf>
    <xf numFmtId="0" fontId="80" fillId="45" borderId="51" xfId="0" applyFont="1" applyFill="1" applyBorder="1" applyAlignment="1" applyProtection="1">
      <alignment horizontal="center"/>
      <protection locked="0"/>
    </xf>
    <xf numFmtId="0" fontId="80" fillId="45" borderId="11" xfId="0" applyFont="1" applyFill="1" applyBorder="1" applyAlignment="1" applyProtection="1">
      <alignment horizontal="center"/>
      <protection locked="0"/>
    </xf>
    <xf numFmtId="0" fontId="101" fillId="45" borderId="60" xfId="0" applyFont="1" applyFill="1" applyBorder="1" applyAlignment="1" applyProtection="1">
      <alignment horizontal="left"/>
      <protection locked="0"/>
    </xf>
    <xf numFmtId="0" fontId="101" fillId="45" borderId="0" xfId="0" applyFont="1" applyFill="1" applyAlignment="1" applyProtection="1">
      <alignment horizontal="left" vertical="center"/>
      <protection locked="0"/>
    </xf>
    <xf numFmtId="0" fontId="101" fillId="45" borderId="33" xfId="0" applyFont="1" applyFill="1" applyBorder="1" applyAlignment="1" applyProtection="1">
      <alignment horizontal="left" vertical="center"/>
      <protection locked="0"/>
    </xf>
    <xf numFmtId="0" fontId="0" fillId="43" borderId="53" xfId="0" applyFont="1" applyFill="1" applyBorder="1" applyAlignment="1" applyProtection="1">
      <alignment horizontal="center" vertical="center"/>
      <protection locked="0"/>
    </xf>
    <xf numFmtId="0" fontId="0" fillId="43" borderId="7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1076325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114300</xdr:rowOff>
    </xdr:from>
    <xdr:to>
      <xdr:col>7</xdr:col>
      <xdr:colOff>0</xdr:colOff>
      <xdr:row>32</xdr:row>
      <xdr:rowOff>57150</xdr:rowOff>
    </xdr:to>
    <xdr:sp>
      <xdr:nvSpPr>
        <xdr:cNvPr id="2" name="Right Arrow 2"/>
        <xdr:cNvSpPr>
          <a:spLocks/>
        </xdr:cNvSpPr>
      </xdr:nvSpPr>
      <xdr:spPr>
        <a:xfrm rot="10800000">
          <a:off x="4895850" y="6715125"/>
          <a:ext cx="647700" cy="285750"/>
        </a:xfrm>
        <a:prstGeom prst="rightArrow">
          <a:avLst>
            <a:gd name="adj1" fmla="val 4458"/>
            <a:gd name="adj2" fmla="val -3700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38100</xdr:rowOff>
    </xdr:from>
    <xdr:to>
      <xdr:col>2</xdr:col>
      <xdr:colOff>714375</xdr:colOff>
      <xdr:row>10</xdr:row>
      <xdr:rowOff>171450</xdr:rowOff>
    </xdr:to>
    <xdr:sp>
      <xdr:nvSpPr>
        <xdr:cNvPr id="3" name="Right Arrow 3"/>
        <xdr:cNvSpPr>
          <a:spLocks/>
        </xdr:cNvSpPr>
      </xdr:nvSpPr>
      <xdr:spPr>
        <a:xfrm rot="10800000">
          <a:off x="1943100" y="2066925"/>
          <a:ext cx="685800" cy="304800"/>
        </a:xfrm>
        <a:prstGeom prst="rightArrow">
          <a:avLst>
            <a:gd name="adj1" fmla="val 9810"/>
            <a:gd name="adj2" fmla="val -37000"/>
          </a:avLst>
        </a:prstGeom>
        <a:gradFill rotWithShape="1">
          <a:gsLst>
            <a:gs pos="0">
              <a:srgbClr val="FF3838"/>
            </a:gs>
            <a:gs pos="47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47625</xdr:rowOff>
    </xdr:from>
    <xdr:to>
      <xdr:col>2</xdr:col>
      <xdr:colOff>752475</xdr:colOff>
      <xdr:row>12</xdr:row>
      <xdr:rowOff>133350</xdr:rowOff>
    </xdr:to>
    <xdr:sp>
      <xdr:nvSpPr>
        <xdr:cNvPr id="4" name="Right Arrow 4"/>
        <xdr:cNvSpPr>
          <a:spLocks/>
        </xdr:cNvSpPr>
      </xdr:nvSpPr>
      <xdr:spPr>
        <a:xfrm rot="10800000">
          <a:off x="1962150" y="2447925"/>
          <a:ext cx="704850" cy="285750"/>
        </a:xfrm>
        <a:prstGeom prst="rightArrow">
          <a:avLst>
            <a:gd name="adj1" fmla="val 16129"/>
            <a:gd name="adj2" fmla="val -37000"/>
          </a:avLst>
        </a:prstGeom>
        <a:gradFill rotWithShape="1">
          <a:gsLst>
            <a:gs pos="0">
              <a:srgbClr val="D7E4BD"/>
            </a:gs>
            <a:gs pos="11000">
              <a:srgbClr val="C3D69B"/>
            </a:gs>
            <a:gs pos="63000">
              <a:srgbClr val="00B05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8"/>
  <sheetViews>
    <sheetView showGridLines="0" tabSelected="1" zoomScale="120" zoomScaleNormal="120" zoomScalePageLayoutView="0" workbookViewId="0" topLeftCell="A1">
      <selection activeCell="B1" sqref="B1:J2"/>
    </sheetView>
  </sheetViews>
  <sheetFormatPr defaultColWidth="9.140625" defaultRowHeight="12.75"/>
  <cols>
    <col min="1" max="1" width="17.421875" style="0" customWidth="1"/>
    <col min="2" max="2" width="11.28125" style="0" customWidth="1"/>
    <col min="3" max="3" width="12.28125" style="0" customWidth="1"/>
    <col min="4" max="4" width="7.00390625" style="0" customWidth="1"/>
    <col min="5" max="5" width="15.140625" style="0" customWidth="1"/>
    <col min="6" max="6" width="10.28125" style="0" customWidth="1"/>
    <col min="7" max="7" width="9.7109375" style="0" customWidth="1"/>
    <col min="8" max="8" width="14.28125" style="0" customWidth="1"/>
    <col min="9" max="9" width="12.28125" style="0" customWidth="1"/>
    <col min="10" max="10" width="12.421875" style="0" customWidth="1"/>
    <col min="11" max="11" width="0.71875" style="0" customWidth="1"/>
    <col min="12" max="12" width="0.42578125" style="63" customWidth="1"/>
    <col min="13" max="13" width="255.00390625" style="63" customWidth="1"/>
    <col min="14" max="29" width="0.13671875" style="63" customWidth="1"/>
    <col min="30" max="36" width="0.13671875" style="65" customWidth="1"/>
    <col min="37" max="55" width="0.13671875" style="0" customWidth="1"/>
  </cols>
  <sheetData>
    <row r="1" spans="1:30" ht="51" customHeight="1">
      <c r="A1" s="2"/>
      <c r="B1" s="180" t="s">
        <v>128</v>
      </c>
      <c r="C1" s="181"/>
      <c r="D1" s="181"/>
      <c r="E1" s="181"/>
      <c r="F1" s="181"/>
      <c r="G1" s="181"/>
      <c r="H1" s="181"/>
      <c r="I1" s="181"/>
      <c r="J1" s="181"/>
      <c r="K1" s="166"/>
      <c r="L1" s="167"/>
      <c r="M1" s="170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C1" s="68"/>
      <c r="AD1" s="64"/>
    </row>
    <row r="2" spans="1:30" ht="11.25" customHeight="1" thickBot="1">
      <c r="A2" s="7"/>
      <c r="B2" s="182"/>
      <c r="C2" s="183"/>
      <c r="D2" s="183"/>
      <c r="E2" s="183"/>
      <c r="F2" s="183"/>
      <c r="G2" s="183"/>
      <c r="H2" s="183"/>
      <c r="I2" s="183"/>
      <c r="J2" s="183"/>
      <c r="K2" s="168"/>
      <c r="L2" s="169"/>
      <c r="M2" s="170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C2" s="68"/>
      <c r="AD2" s="64"/>
    </row>
    <row r="3" spans="1:30" ht="15" customHeight="1">
      <c r="A3" s="119" t="s">
        <v>34</v>
      </c>
      <c r="B3" s="228"/>
      <c r="C3" s="229"/>
      <c r="D3" s="60"/>
      <c r="E3" s="32"/>
      <c r="F3" s="32"/>
      <c r="G3" s="179" t="s">
        <v>185</v>
      </c>
      <c r="H3" s="174"/>
      <c r="I3" s="284" t="s">
        <v>181</v>
      </c>
      <c r="J3" s="284"/>
      <c r="K3" s="37"/>
      <c r="L3" s="66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C3" s="68"/>
      <c r="AD3" s="64"/>
    </row>
    <row r="4" spans="1:30" ht="13.5" customHeight="1">
      <c r="A4" s="120" t="s">
        <v>35</v>
      </c>
      <c r="B4" s="90">
        <v>2018</v>
      </c>
      <c r="C4" s="91" t="s">
        <v>159</v>
      </c>
      <c r="D4" s="47"/>
      <c r="E4" s="32"/>
      <c r="F4" s="32"/>
      <c r="G4" s="175"/>
      <c r="H4" s="177" t="s">
        <v>184</v>
      </c>
      <c r="I4" s="285" t="s">
        <v>182</v>
      </c>
      <c r="J4" s="285"/>
      <c r="K4" s="38"/>
      <c r="L4" s="66"/>
      <c r="N4" s="147"/>
      <c r="O4" s="147"/>
      <c r="P4" s="147"/>
      <c r="Q4" s="148" t="s">
        <v>156</v>
      </c>
      <c r="R4" s="147"/>
      <c r="S4" s="147"/>
      <c r="T4" s="147"/>
      <c r="U4" s="147"/>
      <c r="V4" s="147"/>
      <c r="W4" s="147"/>
      <c r="X4" s="147"/>
      <c r="Y4" s="147"/>
      <c r="Z4" s="147"/>
      <c r="AA4" s="147"/>
      <c r="AC4" s="68"/>
      <c r="AD4" s="64"/>
    </row>
    <row r="5" spans="1:30" ht="13.5" customHeight="1" thickBot="1">
      <c r="A5" s="120" t="s">
        <v>42</v>
      </c>
      <c r="B5" s="224"/>
      <c r="C5" s="225"/>
      <c r="D5" s="47"/>
      <c r="E5" s="32"/>
      <c r="F5" s="32"/>
      <c r="G5" s="176"/>
      <c r="H5" s="178" t="s">
        <v>184</v>
      </c>
      <c r="I5" s="286" t="s">
        <v>183</v>
      </c>
      <c r="J5" s="286"/>
      <c r="K5" s="39"/>
      <c r="L5" s="66"/>
      <c r="N5" s="147"/>
      <c r="O5" s="147"/>
      <c r="P5" s="147" t="s">
        <v>157</v>
      </c>
      <c r="Q5" s="148">
        <v>1</v>
      </c>
      <c r="R5" s="147"/>
      <c r="S5" s="147"/>
      <c r="T5" s="147"/>
      <c r="U5" s="147"/>
      <c r="V5" s="147"/>
      <c r="W5" s="147"/>
      <c r="X5" s="147"/>
      <c r="Y5" s="147"/>
      <c r="Z5" s="147"/>
      <c r="AA5" s="147"/>
      <c r="AC5" s="68"/>
      <c r="AD5" s="64"/>
    </row>
    <row r="6" spans="1:30" ht="13.5" customHeight="1" thickBot="1">
      <c r="A6" s="120" t="s">
        <v>38</v>
      </c>
      <c r="B6" s="226" t="s">
        <v>18</v>
      </c>
      <c r="C6" s="227"/>
      <c r="D6" s="61"/>
      <c r="E6" s="32"/>
      <c r="F6" s="32"/>
      <c r="G6" s="249" t="s">
        <v>180</v>
      </c>
      <c r="H6" s="250"/>
      <c r="I6" s="250"/>
      <c r="J6" s="251"/>
      <c r="K6" s="40"/>
      <c r="L6" s="66"/>
      <c r="N6" s="147"/>
      <c r="O6" s="147"/>
      <c r="P6" s="148">
        <v>2</v>
      </c>
      <c r="Q6" s="148">
        <v>2</v>
      </c>
      <c r="R6" s="147"/>
      <c r="S6" s="147" t="s">
        <v>138</v>
      </c>
      <c r="T6" s="147"/>
      <c r="U6" s="147"/>
      <c r="V6" s="147"/>
      <c r="W6" s="147" t="s">
        <v>136</v>
      </c>
      <c r="X6" s="147"/>
      <c r="Y6" s="149" t="s">
        <v>153</v>
      </c>
      <c r="Z6" s="147"/>
      <c r="AA6" s="147"/>
      <c r="AC6" s="68"/>
      <c r="AD6" s="64"/>
    </row>
    <row r="7" spans="1:30" ht="13.5" customHeight="1" thickBot="1">
      <c r="A7" s="120" t="s">
        <v>36</v>
      </c>
      <c r="B7" s="101">
        <v>3</v>
      </c>
      <c r="C7" s="102" t="s">
        <v>143</v>
      </c>
      <c r="D7" s="61"/>
      <c r="E7" s="32"/>
      <c r="F7" s="32"/>
      <c r="G7" s="171"/>
      <c r="H7" s="172"/>
      <c r="I7" s="173" t="s">
        <v>153</v>
      </c>
      <c r="J7" s="173" t="s">
        <v>165</v>
      </c>
      <c r="K7" s="37"/>
      <c r="L7" s="66"/>
      <c r="N7" s="147"/>
      <c r="O7" s="147"/>
      <c r="P7" s="148">
        <v>4</v>
      </c>
      <c r="Q7" s="148">
        <v>3</v>
      </c>
      <c r="R7" s="147"/>
      <c r="S7" s="147" t="s">
        <v>139</v>
      </c>
      <c r="T7" s="147"/>
      <c r="U7" s="147" t="s">
        <v>5</v>
      </c>
      <c r="V7" s="147"/>
      <c r="W7" s="150">
        <v>0.81</v>
      </c>
      <c r="X7" s="147"/>
      <c r="Y7" s="149" t="s">
        <v>154</v>
      </c>
      <c r="Z7" s="147"/>
      <c r="AA7" s="147"/>
      <c r="AC7" s="68"/>
      <c r="AD7" s="64"/>
    </row>
    <row r="8" spans="1:30" ht="13.5" customHeight="1">
      <c r="A8" s="121" t="s">
        <v>160</v>
      </c>
      <c r="B8" s="207">
        <v>0</v>
      </c>
      <c r="C8" s="208"/>
      <c r="D8" s="47"/>
      <c r="E8" s="32"/>
      <c r="F8" s="32"/>
      <c r="G8" s="247" t="s">
        <v>164</v>
      </c>
      <c r="H8" s="248"/>
      <c r="I8" s="103">
        <f>B17</f>
        <v>0</v>
      </c>
      <c r="J8" s="104">
        <f>B18</f>
        <v>0</v>
      </c>
      <c r="K8" s="38"/>
      <c r="L8" s="66"/>
      <c r="N8" s="147"/>
      <c r="O8" s="147"/>
      <c r="P8" s="147"/>
      <c r="Q8" s="148">
        <v>4</v>
      </c>
      <c r="R8" s="147"/>
      <c r="S8" s="147" t="s">
        <v>140</v>
      </c>
      <c r="T8" s="147"/>
      <c r="U8" s="147" t="s">
        <v>6</v>
      </c>
      <c r="V8" s="147"/>
      <c r="W8" s="150">
        <v>0.96</v>
      </c>
      <c r="X8" s="147"/>
      <c r="Y8" s="149" t="s">
        <v>155</v>
      </c>
      <c r="Z8" s="147"/>
      <c r="AA8" s="147"/>
      <c r="AC8" s="68"/>
      <c r="AD8" s="64"/>
    </row>
    <row r="9" spans="1:30" ht="15" customHeight="1" thickBot="1">
      <c r="A9" s="122" t="s">
        <v>86</v>
      </c>
      <c r="B9" s="209">
        <v>0</v>
      </c>
      <c r="C9" s="210"/>
      <c r="D9" s="62"/>
      <c r="E9" s="32"/>
      <c r="F9" s="32"/>
      <c r="G9" s="235" t="s">
        <v>166</v>
      </c>
      <c r="H9" s="236"/>
      <c r="I9" s="105" t="e">
        <f>5/B19</f>
        <v>#DIV/0!</v>
      </c>
      <c r="J9" s="106">
        <f>5*B20</f>
        <v>0</v>
      </c>
      <c r="K9" s="39"/>
      <c r="L9" s="66"/>
      <c r="N9" s="147"/>
      <c r="O9" s="147"/>
      <c r="P9" s="147"/>
      <c r="Q9" s="148">
        <v>5</v>
      </c>
      <c r="R9" s="147"/>
      <c r="S9" s="147" t="s">
        <v>141</v>
      </c>
      <c r="T9" s="147"/>
      <c r="U9" s="147" t="s">
        <v>7</v>
      </c>
      <c r="V9" s="147"/>
      <c r="W9" s="150">
        <v>1.11</v>
      </c>
      <c r="X9" s="147"/>
      <c r="Y9" s="147"/>
      <c r="Z9" s="147"/>
      <c r="AA9" s="147"/>
      <c r="AC9" s="68"/>
      <c r="AD9" s="64"/>
    </row>
    <row r="10" spans="1:30" ht="13.5" customHeight="1">
      <c r="A10" s="123" t="s">
        <v>87</v>
      </c>
      <c r="B10" s="86">
        <v>0</v>
      </c>
      <c r="C10" s="184"/>
      <c r="D10" s="202" t="s">
        <v>149</v>
      </c>
      <c r="E10" s="203"/>
      <c r="F10" s="45"/>
      <c r="G10" s="235" t="s">
        <v>167</v>
      </c>
      <c r="H10" s="236"/>
      <c r="I10" s="107" t="e">
        <f>I8+I9+B12</f>
        <v>#DIV/0!</v>
      </c>
      <c r="J10" s="108">
        <f>J8+J9+B13</f>
        <v>0</v>
      </c>
      <c r="K10" s="40"/>
      <c r="L10" s="66"/>
      <c r="N10" s="147"/>
      <c r="O10" s="147"/>
      <c r="P10" s="147"/>
      <c r="Q10" s="148">
        <v>6</v>
      </c>
      <c r="R10" s="147"/>
      <c r="S10" s="147"/>
      <c r="T10" s="147"/>
      <c r="U10" s="147" t="s">
        <v>8</v>
      </c>
      <c r="V10" s="147"/>
      <c r="W10" s="150">
        <v>1.36</v>
      </c>
      <c r="X10" s="147"/>
      <c r="Y10" s="147"/>
      <c r="Z10" s="147"/>
      <c r="AA10" s="147"/>
      <c r="AC10" s="68"/>
      <c r="AD10" s="64"/>
    </row>
    <row r="11" spans="1:30" ht="15.75" customHeight="1" thickBot="1">
      <c r="A11" s="124" t="s">
        <v>88</v>
      </c>
      <c r="B11" s="87">
        <v>0</v>
      </c>
      <c r="C11" s="185"/>
      <c r="D11" s="241" t="s">
        <v>150</v>
      </c>
      <c r="E11" s="242"/>
      <c r="F11" s="46"/>
      <c r="G11" s="287" t="s">
        <v>168</v>
      </c>
      <c r="H11" s="288"/>
      <c r="I11" s="109" t="e">
        <f>SUM(B7/B19)*B8</f>
        <v>#DIV/0!</v>
      </c>
      <c r="J11" s="110">
        <f>SUM(B7*B20)*B9/25.4+B13</f>
        <v>0</v>
      </c>
      <c r="K11" s="40"/>
      <c r="L11" s="66"/>
      <c r="N11" s="147"/>
      <c r="O11" s="147"/>
      <c r="P11" s="147"/>
      <c r="Q11" s="148">
        <v>7</v>
      </c>
      <c r="R11" s="147"/>
      <c r="S11" s="147"/>
      <c r="T11" s="147"/>
      <c r="U11" s="147" t="s">
        <v>10</v>
      </c>
      <c r="V11" s="147"/>
      <c r="W11" s="150">
        <v>1.6</v>
      </c>
      <c r="X11" s="147"/>
      <c r="Y11" s="147"/>
      <c r="Z11" s="147"/>
      <c r="AA11" s="147"/>
      <c r="AC11" s="68"/>
      <c r="AD11" s="64"/>
    </row>
    <row r="12" spans="1:30" ht="15.75" customHeight="1" thickBot="1">
      <c r="A12" s="125" t="s">
        <v>147</v>
      </c>
      <c r="B12" s="88">
        <v>0</v>
      </c>
      <c r="C12" s="211"/>
      <c r="D12" s="243" t="s">
        <v>151</v>
      </c>
      <c r="E12" s="244"/>
      <c r="F12" s="45"/>
      <c r="G12" s="280" t="s">
        <v>174</v>
      </c>
      <c r="H12" s="281"/>
      <c r="I12" s="111" t="e">
        <f>B7/B19</f>
        <v>#DIV/0!</v>
      </c>
      <c r="J12" s="112">
        <f>B7*B20</f>
        <v>0</v>
      </c>
      <c r="K12" s="40"/>
      <c r="L12" s="66"/>
      <c r="N12" s="147"/>
      <c r="O12" s="147"/>
      <c r="P12" s="147"/>
      <c r="Q12" s="148">
        <v>8</v>
      </c>
      <c r="R12" s="147"/>
      <c r="S12" s="147"/>
      <c r="T12" s="147"/>
      <c r="U12" s="147" t="s">
        <v>12</v>
      </c>
      <c r="V12" s="147"/>
      <c r="W12" s="150">
        <v>1.61</v>
      </c>
      <c r="X12" s="147"/>
      <c r="Y12" s="147"/>
      <c r="Z12" s="147"/>
      <c r="AA12" s="147"/>
      <c r="AC12" s="68"/>
      <c r="AD12" s="64"/>
    </row>
    <row r="13" spans="1:30" ht="15" customHeight="1" thickBot="1">
      <c r="A13" s="126" t="s">
        <v>148</v>
      </c>
      <c r="B13" s="89">
        <v>0</v>
      </c>
      <c r="C13" s="212"/>
      <c r="D13" s="245" t="s">
        <v>152</v>
      </c>
      <c r="E13" s="246"/>
      <c r="F13" s="46"/>
      <c r="G13" s="237" t="s">
        <v>169</v>
      </c>
      <c r="H13" s="237"/>
      <c r="I13" s="237"/>
      <c r="J13" s="237"/>
      <c r="K13" s="40"/>
      <c r="L13" s="66"/>
      <c r="N13" s="147"/>
      <c r="O13" s="147"/>
      <c r="P13" s="147"/>
      <c r="Q13" s="148">
        <v>9</v>
      </c>
      <c r="R13" s="147"/>
      <c r="S13" s="147"/>
      <c r="T13" s="147"/>
      <c r="U13" s="147" t="s">
        <v>14</v>
      </c>
      <c r="V13" s="147"/>
      <c r="W13" s="150">
        <v>1.9</v>
      </c>
      <c r="X13" s="147"/>
      <c r="Y13" s="147"/>
      <c r="Z13" s="147"/>
      <c r="AA13" s="147"/>
      <c r="AC13" s="68"/>
      <c r="AD13" s="64"/>
    </row>
    <row r="14" spans="1:30" ht="13.5" customHeight="1" thickBot="1">
      <c r="A14" s="119" t="s">
        <v>40</v>
      </c>
      <c r="B14" s="230">
        <v>4</v>
      </c>
      <c r="C14" s="231"/>
      <c r="D14" s="50"/>
      <c r="E14" s="51"/>
      <c r="F14" s="32"/>
      <c r="G14" s="113" t="e">
        <f>I10/SUM(B7/B19)</f>
        <v>#DIV/0!</v>
      </c>
      <c r="H14" s="114" t="s">
        <v>170</v>
      </c>
      <c r="I14" s="115" t="e">
        <f>J10/SUM(B7/D20)</f>
        <v>#DIV/0!</v>
      </c>
      <c r="J14" s="116" t="s">
        <v>133</v>
      </c>
      <c r="K14" s="40"/>
      <c r="L14" s="66"/>
      <c r="N14" s="147"/>
      <c r="O14" s="147"/>
      <c r="P14" s="147"/>
      <c r="Q14" s="148">
        <v>10</v>
      </c>
      <c r="R14" s="147"/>
      <c r="S14" s="147"/>
      <c r="T14" s="147"/>
      <c r="U14" s="147" t="s">
        <v>15</v>
      </c>
      <c r="V14" s="147"/>
      <c r="W14" s="150">
        <v>1.91</v>
      </c>
      <c r="X14" s="147"/>
      <c r="Y14" s="147"/>
      <c r="Z14" s="147"/>
      <c r="AA14" s="147"/>
      <c r="AC14" s="68"/>
      <c r="AD14" s="64"/>
    </row>
    <row r="15" spans="1:30" ht="13.5" customHeight="1" thickBot="1">
      <c r="A15" s="120" t="s">
        <v>37</v>
      </c>
      <c r="B15" s="196">
        <v>2</v>
      </c>
      <c r="C15" s="197"/>
      <c r="D15" s="50"/>
      <c r="E15" s="51"/>
      <c r="F15" s="32"/>
      <c r="G15" s="282" t="s">
        <v>171</v>
      </c>
      <c r="H15" s="237"/>
      <c r="I15" s="237"/>
      <c r="J15" s="283"/>
      <c r="K15" s="40"/>
      <c r="L15" s="66"/>
      <c r="N15" s="147"/>
      <c r="O15" s="147"/>
      <c r="P15" s="147"/>
      <c r="Q15" s="148">
        <v>11</v>
      </c>
      <c r="R15" s="147"/>
      <c r="S15" s="147"/>
      <c r="T15" s="147"/>
      <c r="U15" s="147" t="s">
        <v>17</v>
      </c>
      <c r="V15" s="147"/>
      <c r="W15" s="150">
        <v>2.27</v>
      </c>
      <c r="X15" s="147"/>
      <c r="Y15" s="147"/>
      <c r="Z15" s="147"/>
      <c r="AA15" s="147"/>
      <c r="AC15" s="68"/>
      <c r="AD15" s="64"/>
    </row>
    <row r="16" spans="1:30" ht="13.5" customHeight="1" thickBot="1">
      <c r="A16" s="121" t="s">
        <v>39</v>
      </c>
      <c r="B16" s="196">
        <v>2</v>
      </c>
      <c r="C16" s="197"/>
      <c r="D16" s="50"/>
      <c r="E16" s="51"/>
      <c r="F16" s="32"/>
      <c r="G16" s="232" t="s">
        <v>172</v>
      </c>
      <c r="H16" s="233"/>
      <c r="I16" s="234"/>
      <c r="J16" s="117">
        <f>F32</f>
        <v>1800</v>
      </c>
      <c r="K16" s="40"/>
      <c r="L16" s="66"/>
      <c r="N16" s="147"/>
      <c r="O16" s="147"/>
      <c r="P16" s="147"/>
      <c r="Q16" s="148">
        <v>12</v>
      </c>
      <c r="R16" s="147"/>
      <c r="S16" s="147"/>
      <c r="T16" s="147"/>
      <c r="U16" s="151" t="s">
        <v>18</v>
      </c>
      <c r="V16" s="147"/>
      <c r="W16" s="150">
        <v>2.28</v>
      </c>
      <c r="X16" s="147"/>
      <c r="Y16" s="147"/>
      <c r="Z16" s="147"/>
      <c r="AA16" s="147"/>
      <c r="AC16" s="68"/>
      <c r="AD16" s="64"/>
    </row>
    <row r="17" spans="1:30" ht="13.5" customHeight="1" thickBot="1">
      <c r="A17" s="121" t="s">
        <v>161</v>
      </c>
      <c r="B17" s="196">
        <v>0</v>
      </c>
      <c r="C17" s="197"/>
      <c r="D17" s="50"/>
      <c r="E17" s="51"/>
      <c r="F17" s="77"/>
      <c r="G17" s="232" t="s">
        <v>173</v>
      </c>
      <c r="H17" s="233"/>
      <c r="I17" s="234"/>
      <c r="J17" s="118" t="e">
        <f>F32/(B7*2*B8)</f>
        <v>#DIV/0!</v>
      </c>
      <c r="K17" s="40"/>
      <c r="L17" s="66"/>
      <c r="N17" s="147"/>
      <c r="O17" s="147"/>
      <c r="P17" s="147"/>
      <c r="Q17" s="147"/>
      <c r="R17" s="147"/>
      <c r="S17" s="147"/>
      <c r="T17" s="147"/>
      <c r="U17" s="151" t="s">
        <v>20</v>
      </c>
      <c r="V17" s="147"/>
      <c r="W17" s="150">
        <v>2.38</v>
      </c>
      <c r="X17" s="147"/>
      <c r="Y17" s="147"/>
      <c r="Z17" s="147"/>
      <c r="AA17" s="147"/>
      <c r="AC17" s="68"/>
      <c r="AD17" s="64"/>
    </row>
    <row r="18" spans="1:30" ht="13.5" customHeight="1">
      <c r="A18" s="121" t="s">
        <v>89</v>
      </c>
      <c r="B18" s="198">
        <v>0</v>
      </c>
      <c r="C18" s="199"/>
      <c r="D18" s="50"/>
      <c r="E18" s="51"/>
      <c r="F18" s="77"/>
      <c r="G18" s="77"/>
      <c r="H18" s="77"/>
      <c r="I18" s="77"/>
      <c r="J18" s="77"/>
      <c r="K18" s="32"/>
      <c r="L18" s="66"/>
      <c r="N18" s="147"/>
      <c r="O18" s="147"/>
      <c r="P18" s="147"/>
      <c r="Q18" s="147"/>
      <c r="R18" s="147"/>
      <c r="S18" s="147"/>
      <c r="T18" s="147"/>
      <c r="U18" s="151" t="s">
        <v>22</v>
      </c>
      <c r="V18" s="147"/>
      <c r="W18" s="150">
        <v>2.72</v>
      </c>
      <c r="X18" s="147"/>
      <c r="Y18" s="147"/>
      <c r="Z18" s="147"/>
      <c r="AA18" s="147"/>
      <c r="AC18" s="68"/>
      <c r="AD18" s="64"/>
    </row>
    <row r="19" spans="1:30" ht="13.5" customHeight="1" thickBot="1">
      <c r="A19" s="121" t="s">
        <v>91</v>
      </c>
      <c r="B19" s="200">
        <v>0</v>
      </c>
      <c r="C19" s="201"/>
      <c r="D19" s="50"/>
      <c r="E19" s="51"/>
      <c r="F19" s="77"/>
      <c r="G19" s="77"/>
      <c r="H19" s="77"/>
      <c r="I19" s="77"/>
      <c r="J19" s="77"/>
      <c r="K19" s="32"/>
      <c r="L19" s="66"/>
      <c r="N19" s="147"/>
      <c r="O19" s="147"/>
      <c r="P19" s="147"/>
      <c r="Q19" s="147"/>
      <c r="R19" s="147"/>
      <c r="S19" s="147"/>
      <c r="T19" s="147"/>
      <c r="U19" s="151" t="s">
        <v>23</v>
      </c>
      <c r="V19" s="147"/>
      <c r="W19" s="150">
        <v>2.82</v>
      </c>
      <c r="X19" s="147"/>
      <c r="Y19" s="147"/>
      <c r="Z19" s="147"/>
      <c r="AA19" s="147"/>
      <c r="AC19" s="68"/>
      <c r="AD19" s="64"/>
    </row>
    <row r="20" spans="1:30" ht="13.5" customHeight="1" thickBot="1">
      <c r="A20" s="127" t="s">
        <v>90</v>
      </c>
      <c r="B20" s="275">
        <v>0</v>
      </c>
      <c r="C20" s="276"/>
      <c r="D20" s="52" t="e">
        <f>1/B20*25.4</f>
        <v>#DIV/0!</v>
      </c>
      <c r="E20" s="51"/>
      <c r="F20" s="190" t="s">
        <v>179</v>
      </c>
      <c r="G20" s="191"/>
      <c r="H20" s="191"/>
      <c r="I20" s="191"/>
      <c r="J20" s="192"/>
      <c r="K20" s="32"/>
      <c r="L20" s="66"/>
      <c r="N20" s="147"/>
      <c r="O20" s="147"/>
      <c r="P20" s="147"/>
      <c r="Q20" s="147"/>
      <c r="R20" s="147"/>
      <c r="S20" s="147"/>
      <c r="T20" s="147"/>
      <c r="U20" s="151" t="s">
        <v>25</v>
      </c>
      <c r="V20" s="147"/>
      <c r="W20" s="150">
        <v>3.33</v>
      </c>
      <c r="X20" s="147"/>
      <c r="Y20" s="147"/>
      <c r="Z20" s="147"/>
      <c r="AA20" s="147"/>
      <c r="AC20" s="68"/>
      <c r="AD20" s="64"/>
    </row>
    <row r="21" spans="1:30" ht="15" customHeight="1" thickBot="1">
      <c r="A21" s="204" t="s">
        <v>158</v>
      </c>
      <c r="B21" s="205"/>
      <c r="C21" s="206"/>
      <c r="D21" s="47"/>
      <c r="E21" s="77"/>
      <c r="F21" s="193" t="s">
        <v>178</v>
      </c>
      <c r="G21" s="194"/>
      <c r="H21" s="195"/>
      <c r="I21" s="265" t="s">
        <v>175</v>
      </c>
      <c r="J21" s="266"/>
      <c r="K21" s="32"/>
      <c r="L21" s="66"/>
      <c r="N21" s="147"/>
      <c r="O21" s="147"/>
      <c r="P21" s="147"/>
      <c r="Q21" s="147"/>
      <c r="R21" s="147"/>
      <c r="S21" s="147"/>
      <c r="T21" s="147"/>
      <c r="U21" s="151" t="s">
        <v>27</v>
      </c>
      <c r="V21" s="147"/>
      <c r="W21" s="150" t="s">
        <v>137</v>
      </c>
      <c r="X21" s="147"/>
      <c r="Y21" s="147"/>
      <c r="Z21" s="147"/>
      <c r="AA21" s="147"/>
      <c r="AC21" s="68"/>
      <c r="AD21" s="64"/>
    </row>
    <row r="22" spans="1:30" ht="15" customHeight="1" thickBot="1">
      <c r="A22" s="277" t="s">
        <v>141</v>
      </c>
      <c r="B22" s="278"/>
      <c r="C22" s="279"/>
      <c r="D22" s="48"/>
      <c r="E22" s="77"/>
      <c r="F22" s="186" t="s">
        <v>134</v>
      </c>
      <c r="G22" s="187"/>
      <c r="H22" s="93">
        <v>1</v>
      </c>
      <c r="I22" s="128">
        <f>H22*25.4</f>
        <v>25.4</v>
      </c>
      <c r="J22" s="129" t="s">
        <v>133</v>
      </c>
      <c r="K22" s="32"/>
      <c r="L22" s="66"/>
      <c r="N22" s="152"/>
      <c r="O22" s="152"/>
      <c r="P22" s="152"/>
      <c r="Q22" s="147"/>
      <c r="R22" s="147"/>
      <c r="S22" s="147"/>
      <c r="T22" s="147"/>
      <c r="U22" s="151" t="s">
        <v>30</v>
      </c>
      <c r="V22" s="147"/>
      <c r="W22" s="153">
        <v>1.58</v>
      </c>
      <c r="X22" s="147"/>
      <c r="Y22" s="147"/>
      <c r="Z22" s="147"/>
      <c r="AA22" s="147"/>
      <c r="AC22" s="68"/>
      <c r="AD22" s="64"/>
    </row>
    <row r="23" spans="1:30" ht="15" customHeight="1" thickBot="1">
      <c r="A23" s="269" t="s">
        <v>163</v>
      </c>
      <c r="B23" s="270"/>
      <c r="C23" s="271"/>
      <c r="D23" s="32"/>
      <c r="E23" s="77"/>
      <c r="F23" s="188" t="s">
        <v>133</v>
      </c>
      <c r="G23" s="189"/>
      <c r="H23" s="94">
        <v>1</v>
      </c>
      <c r="I23" s="130">
        <f>H23/25.4</f>
        <v>0.03937007874015748</v>
      </c>
      <c r="J23" s="131" t="s">
        <v>134</v>
      </c>
      <c r="K23" s="32"/>
      <c r="L23" s="66"/>
      <c r="M23" s="154"/>
      <c r="N23" s="152"/>
      <c r="O23" s="152"/>
      <c r="P23" s="155"/>
      <c r="Q23" s="156"/>
      <c r="R23" s="147"/>
      <c r="S23" s="147"/>
      <c r="T23" s="147"/>
      <c r="U23" s="151" t="s">
        <v>32</v>
      </c>
      <c r="V23" s="147"/>
      <c r="W23" s="153">
        <v>1.84</v>
      </c>
      <c r="X23" s="147"/>
      <c r="Y23" s="147"/>
      <c r="Z23" s="147"/>
      <c r="AA23" s="147"/>
      <c r="AC23" s="68"/>
      <c r="AD23" s="64"/>
    </row>
    <row r="24" spans="1:30" ht="15" customHeight="1" thickBot="1">
      <c r="A24" s="272"/>
      <c r="B24" s="273"/>
      <c r="C24" s="274"/>
      <c r="D24" s="75"/>
      <c r="E24" s="77"/>
      <c r="F24" s="188" t="s">
        <v>177</v>
      </c>
      <c r="G24" s="189"/>
      <c r="H24" s="94">
        <v>1</v>
      </c>
      <c r="I24" s="132">
        <f>1/H24*25.4</f>
        <v>25.4</v>
      </c>
      <c r="J24" s="131" t="s">
        <v>176</v>
      </c>
      <c r="K24" s="41"/>
      <c r="L24" s="66"/>
      <c r="M24" s="154"/>
      <c r="N24" s="152"/>
      <c r="O24" s="152"/>
      <c r="P24" s="157"/>
      <c r="Q24" s="156"/>
      <c r="R24" s="147"/>
      <c r="S24" s="147"/>
      <c r="T24" s="147"/>
      <c r="U24" s="147" t="s">
        <v>9</v>
      </c>
      <c r="V24" s="147"/>
      <c r="W24" s="153">
        <v>2.14</v>
      </c>
      <c r="X24" s="147"/>
      <c r="Y24" s="147"/>
      <c r="Z24" s="147"/>
      <c r="AA24" s="147"/>
      <c r="AC24" s="68"/>
      <c r="AD24" s="64"/>
    </row>
    <row r="25" spans="1:30" ht="15" customHeight="1" thickBot="1">
      <c r="A25" s="238" t="s">
        <v>153</v>
      </c>
      <c r="B25" s="239"/>
      <c r="C25" s="240"/>
      <c r="D25" s="74"/>
      <c r="E25" s="77"/>
      <c r="F25" s="267" t="s">
        <v>176</v>
      </c>
      <c r="G25" s="268"/>
      <c r="H25" s="94">
        <v>1</v>
      </c>
      <c r="I25" s="95">
        <f>1/H25*25.4</f>
        <v>25.4</v>
      </c>
      <c r="J25" s="96" t="s">
        <v>135</v>
      </c>
      <c r="K25" s="32"/>
      <c r="L25" s="66"/>
      <c r="M25" s="154"/>
      <c r="N25" s="158"/>
      <c r="O25" s="158"/>
      <c r="P25" s="158"/>
      <c r="Q25" s="156"/>
      <c r="R25" s="147"/>
      <c r="S25" s="147"/>
      <c r="T25" s="147"/>
      <c r="U25" s="147" t="s">
        <v>11</v>
      </c>
      <c r="V25" s="147"/>
      <c r="W25" s="153">
        <v>2.48</v>
      </c>
      <c r="X25" s="147"/>
      <c r="Y25" s="147"/>
      <c r="Z25" s="147"/>
      <c r="AA25" s="147"/>
      <c r="AC25" s="68"/>
      <c r="AD25" s="64"/>
    </row>
    <row r="26" spans="1:30" ht="69" customHeight="1">
      <c r="A26" s="77"/>
      <c r="B26" s="77"/>
      <c r="C26" s="77"/>
      <c r="D26" s="76"/>
      <c r="E26" s="77"/>
      <c r="F26" s="77"/>
      <c r="G26" s="77"/>
      <c r="H26" s="77"/>
      <c r="I26" s="77"/>
      <c r="J26" s="81"/>
      <c r="K26" s="32"/>
      <c r="L26" s="66"/>
      <c r="M26" s="154"/>
      <c r="N26" s="152"/>
      <c r="O26" s="152"/>
      <c r="P26" s="152"/>
      <c r="Q26" s="156"/>
      <c r="R26" s="147"/>
      <c r="S26" s="147"/>
      <c r="T26" s="147"/>
      <c r="U26" s="147"/>
      <c r="V26" s="147"/>
      <c r="W26" s="153"/>
      <c r="X26" s="147"/>
      <c r="Y26" s="147"/>
      <c r="Z26" s="147"/>
      <c r="AA26" s="147"/>
      <c r="AC26" s="68"/>
      <c r="AD26" s="64"/>
    </row>
    <row r="27" spans="1:30" ht="6" customHeight="1" thickBot="1">
      <c r="A27" s="82"/>
      <c r="B27" s="82"/>
      <c r="C27" s="82"/>
      <c r="D27" s="83"/>
      <c r="E27" s="78"/>
      <c r="F27" s="78"/>
      <c r="G27" s="84"/>
      <c r="H27" s="84"/>
      <c r="I27" s="79"/>
      <c r="J27" s="80"/>
      <c r="K27" s="85"/>
      <c r="L27" s="66"/>
      <c r="M27" s="154"/>
      <c r="N27" s="152"/>
      <c r="O27" s="152"/>
      <c r="P27" s="157"/>
      <c r="Q27" s="156"/>
      <c r="R27" s="147"/>
      <c r="S27" s="147"/>
      <c r="T27" s="147"/>
      <c r="U27" s="147" t="s">
        <v>13</v>
      </c>
      <c r="V27" s="147"/>
      <c r="W27" s="153">
        <v>2.57</v>
      </c>
      <c r="X27" s="147"/>
      <c r="Y27" s="147"/>
      <c r="Z27" s="147"/>
      <c r="AA27" s="147"/>
      <c r="AC27" s="68"/>
      <c r="AD27" s="64"/>
    </row>
    <row r="28" spans="1:30" ht="21" customHeight="1" thickBot="1">
      <c r="A28" s="252" t="s">
        <v>44</v>
      </c>
      <c r="B28" s="254" t="s">
        <v>43</v>
      </c>
      <c r="C28" s="254" t="s">
        <v>0</v>
      </c>
      <c r="D28" s="33"/>
      <c r="E28" s="256" t="s">
        <v>41</v>
      </c>
      <c r="F28" s="257"/>
      <c r="G28" s="257"/>
      <c r="H28" s="257"/>
      <c r="I28" s="257"/>
      <c r="J28" s="258"/>
      <c r="K28" s="42"/>
      <c r="L28" s="66"/>
      <c r="M28" s="154"/>
      <c r="N28" s="152"/>
      <c r="O28" s="152"/>
      <c r="P28" s="157"/>
      <c r="Q28" s="156"/>
      <c r="R28" s="147"/>
      <c r="S28" s="147"/>
      <c r="T28" s="147"/>
      <c r="U28" s="147"/>
      <c r="V28" s="147"/>
      <c r="W28" s="153"/>
      <c r="X28" s="147"/>
      <c r="Y28" s="147"/>
      <c r="Z28" s="147"/>
      <c r="AA28" s="147"/>
      <c r="AC28" s="68"/>
      <c r="AD28" s="64"/>
    </row>
    <row r="29" spans="1:30" ht="21" customHeight="1" thickBot="1">
      <c r="A29" s="253"/>
      <c r="B29" s="255"/>
      <c r="C29" s="255"/>
      <c r="D29" s="33"/>
      <c r="E29" s="259" t="s">
        <v>85</v>
      </c>
      <c r="F29" s="260"/>
      <c r="G29" s="260"/>
      <c r="H29" s="260"/>
      <c r="I29" s="260"/>
      <c r="J29" s="261"/>
      <c r="K29" s="42"/>
      <c r="L29" s="66"/>
      <c r="M29" s="154"/>
      <c r="N29" s="156"/>
      <c r="O29" s="156"/>
      <c r="P29" s="156"/>
      <c r="Q29" s="156"/>
      <c r="R29" s="147"/>
      <c r="S29" s="147"/>
      <c r="T29" s="147"/>
      <c r="U29" s="147"/>
      <c r="V29" s="147"/>
      <c r="W29" s="153"/>
      <c r="X29" s="147"/>
      <c r="Y29" s="147"/>
      <c r="Z29" s="147"/>
      <c r="AA29" s="147"/>
      <c r="AC29" s="68"/>
      <c r="AD29" s="64"/>
    </row>
    <row r="30" spans="1:30" ht="13.5" customHeight="1" thickBot="1">
      <c r="A30" s="56" t="s">
        <v>48</v>
      </c>
      <c r="B30" s="8" t="e">
        <f>0.81/B19</f>
        <v>#DIV/0!</v>
      </c>
      <c r="C30" s="9" t="e">
        <f>I10/B30</f>
        <v>#DIV/0!</v>
      </c>
      <c r="D30" s="34"/>
      <c r="E30" s="262"/>
      <c r="F30" s="263"/>
      <c r="G30" s="263"/>
      <c r="H30" s="263"/>
      <c r="I30" s="263"/>
      <c r="J30" s="264"/>
      <c r="K30" s="32"/>
      <c r="L30" s="66"/>
      <c r="M30" s="159"/>
      <c r="N30" s="160"/>
      <c r="O30" s="160"/>
      <c r="P30" s="156"/>
      <c r="Q30" s="156"/>
      <c r="R30" s="147"/>
      <c r="S30" s="147"/>
      <c r="T30" s="147"/>
      <c r="U30" s="147" t="s">
        <v>144</v>
      </c>
      <c r="V30" s="147"/>
      <c r="W30" s="153">
        <v>3</v>
      </c>
      <c r="X30" s="147"/>
      <c r="Y30" s="147"/>
      <c r="Z30" s="147"/>
      <c r="AA30" s="147"/>
      <c r="AC30" s="68"/>
      <c r="AD30" s="64"/>
    </row>
    <row r="31" spans="1:30" ht="13.5" customHeight="1" thickBot="1">
      <c r="A31" s="57" t="s">
        <v>45</v>
      </c>
      <c r="B31" s="25">
        <f>0.81*B20</f>
        <v>0</v>
      </c>
      <c r="C31" s="71" t="e">
        <f>(J10/B31)*25.4</f>
        <v>#DIV/0!</v>
      </c>
      <c r="D31" s="34"/>
      <c r="E31" s="32"/>
      <c r="F31" s="32"/>
      <c r="G31" s="32"/>
      <c r="H31" s="213" t="s">
        <v>186</v>
      </c>
      <c r="I31" s="214"/>
      <c r="J31" s="215"/>
      <c r="K31" s="32"/>
      <c r="L31" s="66"/>
      <c r="M31" s="159"/>
      <c r="N31" s="152"/>
      <c r="O31" s="152"/>
      <c r="P31" s="152"/>
      <c r="Q31" s="152"/>
      <c r="R31" s="147"/>
      <c r="S31" s="147"/>
      <c r="T31" s="147"/>
      <c r="U31" s="147" t="s">
        <v>16</v>
      </c>
      <c r="V31" s="147"/>
      <c r="W31" s="153">
        <v>3.11</v>
      </c>
      <c r="X31" s="147"/>
      <c r="Y31" s="147"/>
      <c r="Z31" s="147"/>
      <c r="AA31" s="147"/>
      <c r="AC31" s="68"/>
      <c r="AD31" s="64"/>
    </row>
    <row r="32" spans="1:30" ht="13.5" customHeight="1" thickBot="1">
      <c r="A32" s="58" t="s">
        <v>46</v>
      </c>
      <c r="B32" s="10" t="e">
        <f>0.96/B19</f>
        <v>#DIV/0!</v>
      </c>
      <c r="C32" s="9" t="e">
        <f>I10/B32</f>
        <v>#DIV/0!</v>
      </c>
      <c r="D32" s="34"/>
      <c r="E32" s="73" t="s">
        <v>2</v>
      </c>
      <c r="F32" s="3">
        <v>1800</v>
      </c>
      <c r="G32" s="32"/>
      <c r="H32" s="216"/>
      <c r="I32" s="217"/>
      <c r="J32" s="218"/>
      <c r="K32" s="43"/>
      <c r="L32" s="66"/>
      <c r="M32" s="159"/>
      <c r="N32" s="152"/>
      <c r="O32" s="152"/>
      <c r="P32" s="152"/>
      <c r="Q32" s="157"/>
      <c r="R32" s="147"/>
      <c r="S32" s="147"/>
      <c r="T32" s="147"/>
      <c r="U32" s="147" t="s">
        <v>19</v>
      </c>
      <c r="V32" s="147"/>
      <c r="W32" s="153">
        <v>3.49</v>
      </c>
      <c r="X32" s="147"/>
      <c r="Y32" s="147"/>
      <c r="Z32" s="147"/>
      <c r="AA32" s="147"/>
      <c r="AC32" s="68"/>
      <c r="AD32" s="64"/>
    </row>
    <row r="33" spans="1:30" ht="13.5" customHeight="1" thickBot="1">
      <c r="A33" s="57" t="s">
        <v>47</v>
      </c>
      <c r="B33" s="25">
        <f>0.96*B20</f>
        <v>0</v>
      </c>
      <c r="C33" s="71" t="e">
        <f>(J10/B33)*25.4</f>
        <v>#DIV/0!</v>
      </c>
      <c r="D33" s="34"/>
      <c r="E33" s="32"/>
      <c r="F33" s="54"/>
      <c r="G33" s="32"/>
      <c r="H33" s="219"/>
      <c r="I33" s="220"/>
      <c r="J33" s="221"/>
      <c r="K33" s="43"/>
      <c r="L33" s="66"/>
      <c r="M33" s="159"/>
      <c r="N33" s="152"/>
      <c r="O33" s="152"/>
      <c r="P33" s="152"/>
      <c r="Q33" s="157"/>
      <c r="R33" s="147"/>
      <c r="S33" s="147"/>
      <c r="T33" s="147"/>
      <c r="U33" s="147" t="s">
        <v>21</v>
      </c>
      <c r="V33" s="147"/>
      <c r="W33" s="153">
        <v>3.62</v>
      </c>
      <c r="X33" s="147"/>
      <c r="Y33" s="147"/>
      <c r="Z33" s="147"/>
      <c r="AA33" s="147"/>
      <c r="AC33" s="68"/>
      <c r="AD33" s="64"/>
    </row>
    <row r="34" spans="1:30" ht="13.5" customHeight="1" thickBot="1">
      <c r="A34" s="56" t="s">
        <v>49</v>
      </c>
      <c r="B34" s="12" t="e">
        <f>1.11/B19</f>
        <v>#DIV/0!</v>
      </c>
      <c r="C34" s="72" t="e">
        <f>I10/B34</f>
        <v>#DIV/0!</v>
      </c>
      <c r="D34" s="34"/>
      <c r="E34" s="222" t="s">
        <v>162</v>
      </c>
      <c r="F34" s="223"/>
      <c r="G34" s="36"/>
      <c r="H34" s="4" t="s">
        <v>3</v>
      </c>
      <c r="I34" s="5" t="s">
        <v>1</v>
      </c>
      <c r="J34" s="6" t="s">
        <v>4</v>
      </c>
      <c r="K34" s="32"/>
      <c r="L34" s="66"/>
      <c r="M34" s="161"/>
      <c r="N34" s="162"/>
      <c r="O34" s="162"/>
      <c r="P34" s="158"/>
      <c r="Q34" s="158"/>
      <c r="R34" s="147"/>
      <c r="S34" s="147"/>
      <c r="T34" s="147"/>
      <c r="U34" s="147" t="s">
        <v>24</v>
      </c>
      <c r="V34" s="147"/>
      <c r="W34" s="153">
        <v>4.08</v>
      </c>
      <c r="X34" s="147"/>
      <c r="Y34" s="147"/>
      <c r="Z34" s="147"/>
      <c r="AA34" s="147"/>
      <c r="AC34" s="68"/>
      <c r="AD34" s="64"/>
    </row>
    <row r="35" spans="1:30" ht="22.5" customHeight="1">
      <c r="A35" s="57" t="s">
        <v>50</v>
      </c>
      <c r="B35" s="25">
        <f>1.11*B20</f>
        <v>0</v>
      </c>
      <c r="C35" s="26" t="e">
        <f>(J10/B35)*25.4</f>
        <v>#DIV/0!</v>
      </c>
      <c r="D35" s="34"/>
      <c r="E35" s="133" t="s">
        <v>132</v>
      </c>
      <c r="F35" s="134" t="e">
        <f>F32/(0.81*2*B8)</f>
        <v>#DIV/0!</v>
      </c>
      <c r="G35" s="36"/>
      <c r="H35" s="144" t="s">
        <v>5</v>
      </c>
      <c r="I35" s="15"/>
      <c r="J35" s="14">
        <v>5300</v>
      </c>
      <c r="K35" s="44"/>
      <c r="L35" s="66"/>
      <c r="M35" s="159"/>
      <c r="N35" s="152"/>
      <c r="O35" s="152"/>
      <c r="P35" s="152"/>
      <c r="Q35" s="152"/>
      <c r="R35" s="147"/>
      <c r="S35" s="147"/>
      <c r="T35" s="147"/>
      <c r="U35" s="147" t="s">
        <v>145</v>
      </c>
      <c r="V35" s="147"/>
      <c r="W35" s="153">
        <v>4.19</v>
      </c>
      <c r="X35" s="147"/>
      <c r="Y35" s="147"/>
      <c r="Z35" s="147"/>
      <c r="AA35" s="147"/>
      <c r="AC35" s="68"/>
      <c r="AD35" s="64"/>
    </row>
    <row r="36" spans="1:30" ht="20.25" customHeight="1">
      <c r="A36" s="58" t="s">
        <v>53</v>
      </c>
      <c r="B36" s="10" t="e">
        <f>1.36/B19</f>
        <v>#DIV/0!</v>
      </c>
      <c r="C36" s="11" t="e">
        <f>I10/B36</f>
        <v>#DIV/0!</v>
      </c>
      <c r="D36" s="34"/>
      <c r="E36" s="135" t="s">
        <v>131</v>
      </c>
      <c r="F36" s="136" t="e">
        <f>F32/(0.81*2*(B9/25.4))</f>
        <v>#DIV/0!</v>
      </c>
      <c r="G36" s="32"/>
      <c r="H36" s="145" t="s">
        <v>6</v>
      </c>
      <c r="I36" s="17"/>
      <c r="J36" s="16">
        <v>4600</v>
      </c>
      <c r="K36" s="55"/>
      <c r="L36" s="66"/>
      <c r="M36" s="159"/>
      <c r="N36" s="152"/>
      <c r="O36" s="152"/>
      <c r="P36" s="152"/>
      <c r="Q36" s="157"/>
      <c r="R36" s="147"/>
      <c r="S36" s="147"/>
      <c r="T36" s="147"/>
      <c r="U36" s="147" t="s">
        <v>146</v>
      </c>
      <c r="V36" s="147"/>
      <c r="W36" s="153">
        <v>4.91</v>
      </c>
      <c r="X36" s="147"/>
      <c r="Y36" s="147"/>
      <c r="Z36" s="147"/>
      <c r="AA36" s="147"/>
      <c r="AC36" s="68"/>
      <c r="AD36" s="64"/>
    </row>
    <row r="37" spans="1:30" ht="15">
      <c r="A37" s="57" t="s">
        <v>51</v>
      </c>
      <c r="B37" s="25">
        <f>1.36*B20</f>
        <v>0</v>
      </c>
      <c r="C37" s="26" t="e">
        <f>(J10/B37)*25.4</f>
        <v>#DIV/0!</v>
      </c>
      <c r="D37" s="34"/>
      <c r="E37" s="137" t="s">
        <v>130</v>
      </c>
      <c r="F37" s="138" t="e">
        <f>F32/(0.96*2*B8)</f>
        <v>#DIV/0!</v>
      </c>
      <c r="G37" s="32"/>
      <c r="H37" s="146" t="s">
        <v>7</v>
      </c>
      <c r="I37" s="19"/>
      <c r="J37" s="18">
        <v>4100</v>
      </c>
      <c r="K37" s="55"/>
      <c r="L37" s="66"/>
      <c r="M37" s="159"/>
      <c r="N37" s="152"/>
      <c r="O37" s="152"/>
      <c r="P37" s="152"/>
      <c r="Q37" s="157"/>
      <c r="R37" s="147"/>
      <c r="S37" s="147"/>
      <c r="T37" s="147"/>
      <c r="U37" s="147" t="s">
        <v>26</v>
      </c>
      <c r="V37" s="147"/>
      <c r="W37" s="163">
        <v>5.725</v>
      </c>
      <c r="X37" s="147"/>
      <c r="Y37" s="147"/>
      <c r="Z37" s="147"/>
      <c r="AA37" s="147"/>
      <c r="AC37" s="68"/>
      <c r="AD37" s="64"/>
    </row>
    <row r="38" spans="1:30" ht="13.5" customHeight="1">
      <c r="A38" s="56" t="s">
        <v>52</v>
      </c>
      <c r="B38" s="12" t="e">
        <f>1.6/B19</f>
        <v>#DIV/0!</v>
      </c>
      <c r="C38" s="13" t="e">
        <f>I10/B38</f>
        <v>#DIV/0!</v>
      </c>
      <c r="D38" s="34"/>
      <c r="E38" s="139" t="s">
        <v>129</v>
      </c>
      <c r="F38" s="140" t="e">
        <f>F32/(0.96*2*(B9/25.4))</f>
        <v>#DIV/0!</v>
      </c>
      <c r="G38" s="32"/>
      <c r="H38" s="145" t="s">
        <v>8</v>
      </c>
      <c r="I38" s="17" t="s">
        <v>9</v>
      </c>
      <c r="J38" s="16">
        <v>3650</v>
      </c>
      <c r="K38" s="32"/>
      <c r="L38" s="66"/>
      <c r="M38" s="161"/>
      <c r="N38" s="160"/>
      <c r="O38" s="160"/>
      <c r="P38" s="156"/>
      <c r="Q38" s="156"/>
      <c r="R38" s="147"/>
      <c r="S38" s="147"/>
      <c r="T38" s="147"/>
      <c r="U38" s="147" t="s">
        <v>28</v>
      </c>
      <c r="V38" s="147"/>
      <c r="W38" s="147"/>
      <c r="X38" s="147"/>
      <c r="Y38" s="147"/>
      <c r="Z38" s="147"/>
      <c r="AA38" s="147"/>
      <c r="AC38" s="68"/>
      <c r="AD38" s="64"/>
    </row>
    <row r="39" spans="1:30" ht="15" customHeight="1">
      <c r="A39" s="57" t="s">
        <v>69</v>
      </c>
      <c r="B39" s="25">
        <f>1.6*B20</f>
        <v>0</v>
      </c>
      <c r="C39" s="26" t="e">
        <f>(J10/B39)*25.4</f>
        <v>#DIV/0!</v>
      </c>
      <c r="D39" s="34"/>
      <c r="E39" s="141" t="s">
        <v>92</v>
      </c>
      <c r="F39" s="142" t="e">
        <f>F32/(1.11*2*B8)</f>
        <v>#DIV/0!</v>
      </c>
      <c r="G39" s="32"/>
      <c r="H39" s="146" t="s">
        <v>10</v>
      </c>
      <c r="I39" s="19" t="s">
        <v>11</v>
      </c>
      <c r="J39" s="18">
        <v>3300</v>
      </c>
      <c r="K39" s="32"/>
      <c r="L39" s="66"/>
      <c r="N39" s="147"/>
      <c r="O39" s="147"/>
      <c r="P39" s="147"/>
      <c r="Q39" s="147"/>
      <c r="R39" s="147"/>
      <c r="S39" s="147"/>
      <c r="T39" s="147"/>
      <c r="U39" s="147" t="s">
        <v>31</v>
      </c>
      <c r="V39" s="147"/>
      <c r="W39" s="147"/>
      <c r="X39" s="147"/>
      <c r="Y39" s="147"/>
      <c r="Z39" s="147"/>
      <c r="AA39" s="147"/>
      <c r="AC39" s="68"/>
      <c r="AD39" s="64"/>
    </row>
    <row r="40" spans="1:30" ht="12.75">
      <c r="A40" s="58" t="s">
        <v>54</v>
      </c>
      <c r="B40" s="10" t="e">
        <f>1.9/B19</f>
        <v>#DIV/0!</v>
      </c>
      <c r="C40" s="11" t="e">
        <f>I10/B40</f>
        <v>#DIV/0!</v>
      </c>
      <c r="D40" s="34"/>
      <c r="E40" s="135" t="s">
        <v>100</v>
      </c>
      <c r="F40" s="136" t="e">
        <f>F32/(1.11*2*(B9/25.4))</f>
        <v>#DIV/0!</v>
      </c>
      <c r="G40" s="32"/>
      <c r="H40" s="145" t="s">
        <v>12</v>
      </c>
      <c r="I40" s="17" t="s">
        <v>13</v>
      </c>
      <c r="J40" s="16">
        <v>2800</v>
      </c>
      <c r="K40" s="32"/>
      <c r="L40" s="66"/>
      <c r="N40" s="147"/>
      <c r="O40" s="147"/>
      <c r="P40" s="147"/>
      <c r="Q40" s="147"/>
      <c r="R40" s="147"/>
      <c r="S40" s="147"/>
      <c r="T40" s="147"/>
      <c r="U40" s="147" t="s">
        <v>33</v>
      </c>
      <c r="V40" s="147"/>
      <c r="W40" s="147"/>
      <c r="X40" s="147"/>
      <c r="Y40" s="147"/>
      <c r="Z40" s="147"/>
      <c r="AA40" s="147"/>
      <c r="AC40" s="68"/>
      <c r="AD40" s="64"/>
    </row>
    <row r="41" spans="1:30" ht="12.75">
      <c r="A41" s="57" t="s">
        <v>70</v>
      </c>
      <c r="B41" s="25">
        <f>1.9*B20</f>
        <v>0</v>
      </c>
      <c r="C41" s="26" t="e">
        <f>(J10/B41)*25.4</f>
        <v>#DIV/0!</v>
      </c>
      <c r="D41" s="34"/>
      <c r="E41" s="137" t="s">
        <v>108</v>
      </c>
      <c r="F41" s="138" t="e">
        <f>F32/(1.36*2*B8)</f>
        <v>#DIV/0!</v>
      </c>
      <c r="G41" s="32"/>
      <c r="H41" s="146" t="s">
        <v>14</v>
      </c>
      <c r="I41" s="19"/>
      <c r="J41" s="18">
        <v>2400</v>
      </c>
      <c r="K41" s="32"/>
      <c r="L41" s="66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C41" s="68"/>
      <c r="AD41" s="64"/>
    </row>
    <row r="42" spans="1:30" ht="12.75">
      <c r="A42" s="56" t="s">
        <v>55</v>
      </c>
      <c r="B42" s="12" t="e">
        <f>2.14/B19</f>
        <v>#DIV/0!</v>
      </c>
      <c r="C42" s="13" t="e">
        <f>I10/B42</f>
        <v>#DIV/0!</v>
      </c>
      <c r="D42" s="34"/>
      <c r="E42" s="139" t="s">
        <v>114</v>
      </c>
      <c r="F42" s="140" t="e">
        <f>F32/(1.36*2*(B9/25.4))</f>
        <v>#DIV/0!</v>
      </c>
      <c r="G42" s="32"/>
      <c r="H42" s="145" t="s">
        <v>15</v>
      </c>
      <c r="I42" s="17" t="s">
        <v>16</v>
      </c>
      <c r="J42" s="16">
        <v>2400</v>
      </c>
      <c r="K42" s="32"/>
      <c r="L42" s="66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C42" s="68"/>
      <c r="AD42" s="64"/>
    </row>
    <row r="43" spans="1:30" ht="12.75">
      <c r="A43" s="57" t="s">
        <v>71</v>
      </c>
      <c r="B43" s="25">
        <f>2.14*B20</f>
        <v>0</v>
      </c>
      <c r="C43" s="26" t="e">
        <f>(J10/B43)*25.4</f>
        <v>#DIV/0!</v>
      </c>
      <c r="D43" s="34"/>
      <c r="E43" s="141" t="s">
        <v>127</v>
      </c>
      <c r="F43" s="142" t="e">
        <f>F32/(1.6*2*B8)</f>
        <v>#DIV/0!</v>
      </c>
      <c r="G43" s="32"/>
      <c r="H43" s="18" t="s">
        <v>17</v>
      </c>
      <c r="I43" s="19"/>
      <c r="J43" s="18">
        <v>2100</v>
      </c>
      <c r="K43" s="32"/>
      <c r="L43" s="66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C43" s="68"/>
      <c r="AD43" s="64"/>
    </row>
    <row r="44" spans="1:30" ht="12.75">
      <c r="A44" s="58" t="s">
        <v>56</v>
      </c>
      <c r="B44" s="10" t="e">
        <f>2.28/B19</f>
        <v>#DIV/0!</v>
      </c>
      <c r="C44" s="11" t="e">
        <f>I10/B44</f>
        <v>#DIV/0!</v>
      </c>
      <c r="D44" s="34"/>
      <c r="E44" s="135" t="s">
        <v>126</v>
      </c>
      <c r="F44" s="136" t="e">
        <f>F32/(1.6*2*(B9/25.4))</f>
        <v>#DIV/0!</v>
      </c>
      <c r="G44" s="32"/>
      <c r="H44" s="20" t="s">
        <v>18</v>
      </c>
      <c r="I44" s="17" t="s">
        <v>19</v>
      </c>
      <c r="J44" s="16">
        <v>1800</v>
      </c>
      <c r="K44" s="32"/>
      <c r="L44" s="66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C44" s="68"/>
      <c r="AD44" s="64"/>
    </row>
    <row r="45" spans="1:30" ht="12.75">
      <c r="A45" s="57" t="s">
        <v>72</v>
      </c>
      <c r="B45" s="25">
        <f>2.28*B20</f>
        <v>0</v>
      </c>
      <c r="C45" s="26" t="e">
        <f>(J10/B45)*25.4</f>
        <v>#DIV/0!</v>
      </c>
      <c r="D45" s="34"/>
      <c r="E45" s="137" t="s">
        <v>125</v>
      </c>
      <c r="F45" s="138" t="e">
        <f>F32/(1.9*2*B8)</f>
        <v>#DIV/0!</v>
      </c>
      <c r="G45" s="32"/>
      <c r="H45" s="21" t="s">
        <v>20</v>
      </c>
      <c r="I45" s="19"/>
      <c r="J45" s="18">
        <v>1800</v>
      </c>
      <c r="K45" s="32"/>
      <c r="L45" s="66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C45" s="68"/>
      <c r="AD45" s="64"/>
    </row>
    <row r="46" spans="1:30" ht="12.75">
      <c r="A46" s="56" t="s">
        <v>57</v>
      </c>
      <c r="B46" s="12" t="e">
        <f>2.38/B19</f>
        <v>#DIV/0!</v>
      </c>
      <c r="C46" s="13" t="e">
        <f>I10/B46</f>
        <v>#DIV/0!</v>
      </c>
      <c r="D46" s="34"/>
      <c r="E46" s="139" t="s">
        <v>124</v>
      </c>
      <c r="F46" s="140" t="e">
        <f>F32/(1.9*2*(B9/25.4))</f>
        <v>#DIV/0!</v>
      </c>
      <c r="G46" s="32"/>
      <c r="H46" s="20" t="s">
        <v>22</v>
      </c>
      <c r="I46" s="17" t="s">
        <v>21</v>
      </c>
      <c r="J46" s="16">
        <v>1450</v>
      </c>
      <c r="K46" s="32"/>
      <c r="L46" s="66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C46" s="68"/>
      <c r="AD46" s="64"/>
    </row>
    <row r="47" spans="1:30" ht="12.75">
      <c r="A47" s="57" t="s">
        <v>73</v>
      </c>
      <c r="B47" s="25">
        <f>2.38*B20</f>
        <v>0</v>
      </c>
      <c r="C47" s="26" t="e">
        <f>(J10/B47)*25.4</f>
        <v>#DIV/0!</v>
      </c>
      <c r="D47" s="34"/>
      <c r="E47" s="141" t="s">
        <v>93</v>
      </c>
      <c r="F47" s="142" t="e">
        <f>F32/(2.14*2*B8)</f>
        <v>#DIV/0!</v>
      </c>
      <c r="G47" s="32"/>
      <c r="H47" s="21" t="s">
        <v>23</v>
      </c>
      <c r="I47" s="19" t="s">
        <v>24</v>
      </c>
      <c r="J47" s="18">
        <v>1450</v>
      </c>
      <c r="K47" s="32"/>
      <c r="L47" s="66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C47" s="68"/>
      <c r="AD47" s="64"/>
    </row>
    <row r="48" spans="1:30" ht="12.75">
      <c r="A48" s="58" t="s">
        <v>58</v>
      </c>
      <c r="B48" s="10" t="e">
        <f>2.48/B19</f>
        <v>#DIV/0!</v>
      </c>
      <c r="C48" s="11" t="e">
        <f>I10/B48</f>
        <v>#DIV/0!</v>
      </c>
      <c r="D48" s="34"/>
      <c r="E48" s="135" t="s">
        <v>101</v>
      </c>
      <c r="F48" s="136" t="e">
        <f>F32/(2.14*2*(B9/25.4))</f>
        <v>#DIV/0!</v>
      </c>
      <c r="G48" s="32"/>
      <c r="H48" s="20" t="s">
        <v>25</v>
      </c>
      <c r="I48" s="17" t="s">
        <v>26</v>
      </c>
      <c r="J48" s="16">
        <v>1200</v>
      </c>
      <c r="K48" s="32"/>
      <c r="L48" s="66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C48" s="68"/>
      <c r="AD48" s="64"/>
    </row>
    <row r="49" spans="1:30" ht="12.75">
      <c r="A49" s="57" t="s">
        <v>74</v>
      </c>
      <c r="B49" s="25">
        <f>2.48*B20</f>
        <v>0</v>
      </c>
      <c r="C49" s="26" t="e">
        <f>(J10/B49)*25.4</f>
        <v>#DIV/0!</v>
      </c>
      <c r="D49" s="34"/>
      <c r="E49" s="137" t="s">
        <v>109</v>
      </c>
      <c r="F49" s="138" t="e">
        <f>F32/(2.28*2*B8)</f>
        <v>#DIV/0!</v>
      </c>
      <c r="G49" s="32"/>
      <c r="H49" s="21" t="s">
        <v>27</v>
      </c>
      <c r="I49" s="19" t="s">
        <v>28</v>
      </c>
      <c r="J49" s="18">
        <v>1200</v>
      </c>
      <c r="K49" s="32"/>
      <c r="L49" s="66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C49" s="68"/>
      <c r="AD49" s="64"/>
    </row>
    <row r="50" spans="1:30" ht="12.75">
      <c r="A50" s="56" t="s">
        <v>59</v>
      </c>
      <c r="B50" s="12" t="e">
        <f>2.57/B19</f>
        <v>#DIV/0!</v>
      </c>
      <c r="C50" s="13" t="e">
        <f>I10/B50</f>
        <v>#DIV/0!</v>
      </c>
      <c r="D50" s="34"/>
      <c r="E50" s="139" t="s">
        <v>115</v>
      </c>
      <c r="F50" s="140" t="e">
        <f>F32/(2.28*2*(B9/25.4))</f>
        <v>#DIV/0!</v>
      </c>
      <c r="G50" s="32"/>
      <c r="H50" s="20" t="s">
        <v>29</v>
      </c>
      <c r="I50" s="17"/>
      <c r="J50" s="16">
        <v>1050</v>
      </c>
      <c r="K50" s="32"/>
      <c r="L50" s="66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C50" s="68"/>
      <c r="AD50" s="64"/>
    </row>
    <row r="51" spans="1:30" ht="12.75">
      <c r="A51" s="57" t="s">
        <v>75</v>
      </c>
      <c r="B51" s="25">
        <f>2.57*B20</f>
        <v>0</v>
      </c>
      <c r="C51" s="26" t="e">
        <f>(J10/B51)*25.4</f>
        <v>#DIV/0!</v>
      </c>
      <c r="D51" s="34"/>
      <c r="E51" s="141" t="s">
        <v>94</v>
      </c>
      <c r="F51" s="142" t="e">
        <f>F32/(2.38*2*B8)</f>
        <v>#DIV/0!</v>
      </c>
      <c r="G51" s="32"/>
      <c r="H51" s="21" t="s">
        <v>30</v>
      </c>
      <c r="I51" s="19" t="s">
        <v>31</v>
      </c>
      <c r="J51" s="18">
        <v>900</v>
      </c>
      <c r="K51" s="32"/>
      <c r="L51" s="66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C51" s="68"/>
      <c r="AD51" s="64"/>
    </row>
    <row r="52" spans="1:30" ht="13.5" thickBot="1">
      <c r="A52" s="58" t="s">
        <v>60</v>
      </c>
      <c r="B52" s="10" t="e">
        <f>2.72/B19</f>
        <v>#DIV/0!</v>
      </c>
      <c r="C52" s="11" t="e">
        <f>I10/B52</f>
        <v>#DIV/0!</v>
      </c>
      <c r="D52" s="34"/>
      <c r="E52" s="135" t="s">
        <v>102</v>
      </c>
      <c r="F52" s="136" t="e">
        <f>F32/(2.38*2*(B9/25.4))</f>
        <v>#DIV/0!</v>
      </c>
      <c r="G52" s="32"/>
      <c r="H52" s="22" t="s">
        <v>32</v>
      </c>
      <c r="I52" s="23" t="s">
        <v>33</v>
      </c>
      <c r="J52" s="24">
        <v>900</v>
      </c>
      <c r="K52" s="32"/>
      <c r="L52" s="66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C52" s="68"/>
      <c r="AD52" s="64"/>
    </row>
    <row r="53" spans="1:30" ht="12.75">
      <c r="A53" s="57" t="s">
        <v>76</v>
      </c>
      <c r="B53" s="25">
        <f>2.72*B20</f>
        <v>0</v>
      </c>
      <c r="C53" s="26" t="e">
        <f>(J10/B53)*25.4</f>
        <v>#DIV/0!</v>
      </c>
      <c r="D53" s="34"/>
      <c r="E53" s="137" t="s">
        <v>110</v>
      </c>
      <c r="F53" s="138" t="e">
        <f>F32/(2.48*2*B8)</f>
        <v>#DIV/0!</v>
      </c>
      <c r="G53" s="32"/>
      <c r="H53" s="32"/>
      <c r="I53" s="32"/>
      <c r="J53" s="32"/>
      <c r="K53" s="32"/>
      <c r="L53" s="66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C53" s="68"/>
      <c r="AD53" s="64"/>
    </row>
    <row r="54" spans="1:30" ht="12.75">
      <c r="A54" s="56" t="s">
        <v>61</v>
      </c>
      <c r="B54" s="12" t="e">
        <f>2.82/B19</f>
        <v>#DIV/0!</v>
      </c>
      <c r="C54" s="13" t="e">
        <f>I10/B54</f>
        <v>#DIV/0!</v>
      </c>
      <c r="D54" s="34"/>
      <c r="E54" s="139" t="s">
        <v>116</v>
      </c>
      <c r="F54" s="140" t="e">
        <f>F32/(2.48*2*(B9/25.4))</f>
        <v>#DIV/0!</v>
      </c>
      <c r="G54" s="32"/>
      <c r="H54" s="32"/>
      <c r="I54" s="32"/>
      <c r="J54" s="32"/>
      <c r="K54" s="32"/>
      <c r="L54" s="66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C54" s="68"/>
      <c r="AD54" s="64"/>
    </row>
    <row r="55" spans="1:30" ht="12.75">
      <c r="A55" s="57" t="s">
        <v>77</v>
      </c>
      <c r="B55" s="25">
        <f>2.82*B20</f>
        <v>0</v>
      </c>
      <c r="C55" s="26" t="e">
        <f>(J10/B55)*25.4</f>
        <v>#DIV/0!</v>
      </c>
      <c r="D55" s="34"/>
      <c r="E55" s="141" t="s">
        <v>95</v>
      </c>
      <c r="F55" s="142" t="e">
        <f>F32/(2.57*2*B8)</f>
        <v>#DIV/0!</v>
      </c>
      <c r="G55" s="32"/>
      <c r="H55" s="32"/>
      <c r="I55" s="32"/>
      <c r="J55" s="32"/>
      <c r="K55" s="32"/>
      <c r="L55" s="66"/>
      <c r="N55" s="147"/>
      <c r="O55" s="164" t="s">
        <v>142</v>
      </c>
      <c r="P55" s="164"/>
      <c r="Q55" s="165" t="e">
        <f>B8-#REF!</f>
        <v>#REF!</v>
      </c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C55" s="68"/>
      <c r="AD55" s="64"/>
    </row>
    <row r="56" spans="1:30" ht="12.75">
      <c r="A56" s="58" t="s">
        <v>62</v>
      </c>
      <c r="B56" s="10" t="e">
        <f>3/B19</f>
        <v>#DIV/0!</v>
      </c>
      <c r="C56" s="11" t="e">
        <f>I10/B56</f>
        <v>#DIV/0!</v>
      </c>
      <c r="D56" s="34"/>
      <c r="E56" s="135" t="s">
        <v>103</v>
      </c>
      <c r="F56" s="136" t="e">
        <f>F32/(2.57*2*(B9/25.4))</f>
        <v>#DIV/0!</v>
      </c>
      <c r="G56" s="32"/>
      <c r="H56" s="32"/>
      <c r="I56" s="32"/>
      <c r="J56" s="32"/>
      <c r="K56" s="32"/>
      <c r="L56" s="66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C56" s="68"/>
      <c r="AD56" s="64"/>
    </row>
    <row r="57" spans="1:30" ht="12.75">
      <c r="A57" s="57" t="s">
        <v>78</v>
      </c>
      <c r="B57" s="25">
        <f>3*B20</f>
        <v>0</v>
      </c>
      <c r="C57" s="26" t="e">
        <f>(J10/B57)*25.4</f>
        <v>#DIV/0!</v>
      </c>
      <c r="D57" s="34"/>
      <c r="E57" s="137" t="s">
        <v>111</v>
      </c>
      <c r="F57" s="138" t="e">
        <f>F32/(2.72*2*B8)</f>
        <v>#DIV/0!</v>
      </c>
      <c r="G57" s="32"/>
      <c r="H57" s="32"/>
      <c r="I57" s="32"/>
      <c r="J57" s="32"/>
      <c r="K57" s="32"/>
      <c r="L57" s="66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C57" s="68"/>
      <c r="AD57" s="64"/>
    </row>
    <row r="58" spans="1:30" ht="12.75">
      <c r="A58" s="56" t="s">
        <v>63</v>
      </c>
      <c r="B58" s="12" t="e">
        <f>3.33/B19</f>
        <v>#DIV/0!</v>
      </c>
      <c r="C58" s="13" t="e">
        <f>I10/B58</f>
        <v>#DIV/0!</v>
      </c>
      <c r="D58" s="34"/>
      <c r="E58" s="139" t="s">
        <v>117</v>
      </c>
      <c r="F58" s="140" t="e">
        <f>F32/(2.72*2*(B9/25.4))</f>
        <v>#DIV/0!</v>
      </c>
      <c r="G58" s="32"/>
      <c r="H58" s="32"/>
      <c r="I58" s="32"/>
      <c r="J58" s="32"/>
      <c r="K58" s="32"/>
      <c r="L58" s="66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C58" s="68"/>
      <c r="AD58" s="64"/>
    </row>
    <row r="59" spans="1:30" ht="12.75">
      <c r="A59" s="57" t="s">
        <v>79</v>
      </c>
      <c r="B59" s="25">
        <f>3.33*B20</f>
        <v>0</v>
      </c>
      <c r="C59" s="26" t="e">
        <f>(J10/B59)*25.4</f>
        <v>#DIV/0!</v>
      </c>
      <c r="D59" s="34"/>
      <c r="E59" s="141" t="s">
        <v>96</v>
      </c>
      <c r="F59" s="142" t="e">
        <f>F32/(2.82*2*B8)</f>
        <v>#DIV/0!</v>
      </c>
      <c r="G59" s="32"/>
      <c r="H59" s="32"/>
      <c r="I59" s="32"/>
      <c r="J59" s="32"/>
      <c r="K59" s="32"/>
      <c r="L59" s="66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C59" s="68"/>
      <c r="AD59" s="64"/>
    </row>
    <row r="60" spans="1:30" ht="12.75">
      <c r="A60" s="58" t="s">
        <v>64</v>
      </c>
      <c r="B60" s="10" t="e">
        <f>3.49/B19</f>
        <v>#DIV/0!</v>
      </c>
      <c r="C60" s="11" t="e">
        <f>I10/B60</f>
        <v>#DIV/0!</v>
      </c>
      <c r="D60" s="34"/>
      <c r="E60" s="135" t="s">
        <v>104</v>
      </c>
      <c r="F60" s="136" t="e">
        <f>F32/(2.82*2*(B9/25.4))</f>
        <v>#DIV/0!</v>
      </c>
      <c r="G60" s="32"/>
      <c r="H60" s="32"/>
      <c r="I60" s="32"/>
      <c r="J60" s="32"/>
      <c r="K60" s="32"/>
      <c r="L60" s="66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C60" s="68"/>
      <c r="AD60" s="64"/>
    </row>
    <row r="61" spans="1:30" ht="12.75">
      <c r="A61" s="57" t="s">
        <v>80</v>
      </c>
      <c r="B61" s="25">
        <f>3.49*B20</f>
        <v>0</v>
      </c>
      <c r="C61" s="26" t="e">
        <f>(J10/B61)*25.4</f>
        <v>#DIV/0!</v>
      </c>
      <c r="D61" s="34"/>
      <c r="E61" s="137" t="s">
        <v>123</v>
      </c>
      <c r="F61" s="138" t="e">
        <f>F32/(3*2*B8)</f>
        <v>#DIV/0!</v>
      </c>
      <c r="G61" s="32"/>
      <c r="H61" s="32"/>
      <c r="I61" s="32"/>
      <c r="J61" s="32"/>
      <c r="K61" s="32"/>
      <c r="L61" s="66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C61" s="68"/>
      <c r="AD61" s="64"/>
    </row>
    <row r="62" spans="1:30" ht="12.75">
      <c r="A62" s="56" t="s">
        <v>65</v>
      </c>
      <c r="B62" s="12" t="e">
        <f>3.62/B19</f>
        <v>#DIV/0!</v>
      </c>
      <c r="C62" s="13" t="e">
        <f>I10/B62</f>
        <v>#DIV/0!</v>
      </c>
      <c r="D62" s="34"/>
      <c r="E62" s="139" t="s">
        <v>122</v>
      </c>
      <c r="F62" s="140" t="e">
        <f>F32/(3*2*(B9/25.4))</f>
        <v>#DIV/0!</v>
      </c>
      <c r="G62" s="32"/>
      <c r="H62" s="32"/>
      <c r="I62" s="32"/>
      <c r="J62" s="32"/>
      <c r="K62" s="32"/>
      <c r="L62" s="66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C62" s="68"/>
      <c r="AD62" s="64"/>
    </row>
    <row r="63" spans="1:30" ht="12.75">
      <c r="A63" s="57" t="s">
        <v>81</v>
      </c>
      <c r="B63" s="25">
        <f>3.62*B20</f>
        <v>0</v>
      </c>
      <c r="C63" s="26" t="e">
        <f>(J10/B63)*25.4</f>
        <v>#DIV/0!</v>
      </c>
      <c r="D63" s="34"/>
      <c r="E63" s="141" t="s">
        <v>97</v>
      </c>
      <c r="F63" s="142" t="e">
        <f>F32/(3.33*2*B8)</f>
        <v>#DIV/0!</v>
      </c>
      <c r="G63" s="32"/>
      <c r="H63" s="32"/>
      <c r="I63" s="32"/>
      <c r="J63" s="32"/>
      <c r="K63" s="32"/>
      <c r="L63" s="66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C63" s="68"/>
      <c r="AD63" s="64"/>
    </row>
    <row r="64" spans="1:30" ht="12.75">
      <c r="A64" s="58" t="s">
        <v>66</v>
      </c>
      <c r="B64" s="10" t="e">
        <f>4/B19</f>
        <v>#DIV/0!</v>
      </c>
      <c r="C64" s="11" t="e">
        <f>I10/B64</f>
        <v>#DIV/0!</v>
      </c>
      <c r="D64" s="34"/>
      <c r="E64" s="135" t="s">
        <v>105</v>
      </c>
      <c r="F64" s="136" t="e">
        <f>F32/(3.33*2*(B9/25.4))</f>
        <v>#DIV/0!</v>
      </c>
      <c r="G64" s="32"/>
      <c r="H64" s="32"/>
      <c r="I64" s="32"/>
      <c r="J64" s="32"/>
      <c r="K64" s="32"/>
      <c r="L64" s="66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C64" s="68"/>
      <c r="AD64" s="64"/>
    </row>
    <row r="65" spans="1:30" ht="12.75">
      <c r="A65" s="57" t="s">
        <v>82</v>
      </c>
      <c r="B65" s="25">
        <f>4*B20</f>
        <v>0</v>
      </c>
      <c r="C65" s="27" t="e">
        <f>(J10/B65)*25.4</f>
        <v>#DIV/0!</v>
      </c>
      <c r="D65" s="35"/>
      <c r="E65" s="137" t="s">
        <v>112</v>
      </c>
      <c r="F65" s="138" t="e">
        <f>F32/(3.49*2*B8)</f>
        <v>#DIV/0!</v>
      </c>
      <c r="G65" s="32"/>
      <c r="H65" s="32"/>
      <c r="I65" s="32"/>
      <c r="J65" s="32"/>
      <c r="K65" s="32"/>
      <c r="L65" s="66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C65" s="68"/>
      <c r="AD65" s="64"/>
    </row>
    <row r="66" spans="1:30" ht="12.75">
      <c r="A66" s="56" t="s">
        <v>67</v>
      </c>
      <c r="B66" s="12" t="e">
        <f>4.19/B19</f>
        <v>#DIV/0!</v>
      </c>
      <c r="C66" s="13" t="e">
        <f>I10/B66</f>
        <v>#DIV/0!</v>
      </c>
      <c r="D66" s="34"/>
      <c r="E66" s="139" t="s">
        <v>118</v>
      </c>
      <c r="F66" s="140" t="e">
        <f>F32/(3.49*2*(B9/25.4))</f>
        <v>#DIV/0!</v>
      </c>
      <c r="G66" s="32"/>
      <c r="H66" s="32"/>
      <c r="I66" s="32"/>
      <c r="J66" s="32"/>
      <c r="K66" s="32"/>
      <c r="L66" s="66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C66" s="68"/>
      <c r="AD66" s="64"/>
    </row>
    <row r="67" spans="1:30" ht="12.75">
      <c r="A67" s="57" t="s">
        <v>83</v>
      </c>
      <c r="B67" s="25">
        <f>4.19*B20</f>
        <v>0</v>
      </c>
      <c r="C67" s="26" t="e">
        <f>(J10/B67)*25.4</f>
        <v>#DIV/0!</v>
      </c>
      <c r="D67" s="34"/>
      <c r="E67" s="141" t="s">
        <v>98</v>
      </c>
      <c r="F67" s="142" t="e">
        <f>F32/(3.62*2*B8)</f>
        <v>#DIV/0!</v>
      </c>
      <c r="G67" s="32"/>
      <c r="H67" s="32"/>
      <c r="I67" s="32"/>
      <c r="J67" s="32"/>
      <c r="K67" s="32"/>
      <c r="L67" s="66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C67" s="68"/>
      <c r="AD67" s="64"/>
    </row>
    <row r="68" spans="1:30" ht="12.75">
      <c r="A68" s="58" t="s">
        <v>68</v>
      </c>
      <c r="B68" s="10" t="e">
        <f>4.91/B19</f>
        <v>#DIV/0!</v>
      </c>
      <c r="C68" s="11" t="e">
        <f>I10/B68</f>
        <v>#DIV/0!</v>
      </c>
      <c r="D68" s="34"/>
      <c r="E68" s="135" t="s">
        <v>106</v>
      </c>
      <c r="F68" s="136" t="e">
        <f>F32/(3.62*2*(B9/25.4))</f>
        <v>#DIV/0!</v>
      </c>
      <c r="G68" s="32"/>
      <c r="H68" s="32"/>
      <c r="I68" s="32"/>
      <c r="J68" s="32"/>
      <c r="K68" s="32"/>
      <c r="L68" s="66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C68" s="68"/>
      <c r="AD68" s="64"/>
    </row>
    <row r="69" spans="1:30" ht="13.5" thickBot="1">
      <c r="A69" s="59" t="s">
        <v>84</v>
      </c>
      <c r="B69" s="28">
        <f>4.91*B20</f>
        <v>0</v>
      </c>
      <c r="C69" s="29" t="e">
        <f>(J10/B69)*25.4</f>
        <v>#DIV/0!</v>
      </c>
      <c r="D69" s="34"/>
      <c r="E69" s="137" t="s">
        <v>121</v>
      </c>
      <c r="F69" s="143" t="e">
        <f>F32/(4*2*B8)</f>
        <v>#DIV/0!</v>
      </c>
      <c r="G69" s="32"/>
      <c r="H69" s="32"/>
      <c r="I69" s="32"/>
      <c r="J69" s="32"/>
      <c r="K69" s="32"/>
      <c r="L69" s="66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C69" s="68"/>
      <c r="AD69" s="64"/>
    </row>
    <row r="70" spans="1:30" ht="12.75">
      <c r="A70" s="49"/>
      <c r="B70" s="31"/>
      <c r="C70" s="32"/>
      <c r="D70" s="32"/>
      <c r="E70" s="139" t="s">
        <v>120</v>
      </c>
      <c r="F70" s="140" t="e">
        <f>F32/(4*2*(B9/25.4))</f>
        <v>#DIV/0!</v>
      </c>
      <c r="G70" s="32"/>
      <c r="H70" s="32"/>
      <c r="I70" s="32"/>
      <c r="J70" s="32"/>
      <c r="K70" s="32"/>
      <c r="L70" s="66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C70" s="68"/>
      <c r="AD70" s="64"/>
    </row>
    <row r="71" spans="1:30" ht="12.75">
      <c r="A71" s="49"/>
      <c r="B71" s="32"/>
      <c r="C71" s="32"/>
      <c r="D71" s="32"/>
      <c r="E71" s="141" t="s">
        <v>99</v>
      </c>
      <c r="F71" s="142" t="e">
        <f>F32/(4.19*2*B8)</f>
        <v>#DIV/0!</v>
      </c>
      <c r="G71" s="32"/>
      <c r="H71" s="32"/>
      <c r="I71" s="32"/>
      <c r="J71" s="32"/>
      <c r="K71" s="32"/>
      <c r="L71" s="66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C71" s="68"/>
      <c r="AD71" s="64"/>
    </row>
    <row r="72" spans="1:30" ht="12.75">
      <c r="A72" s="49"/>
      <c r="B72" s="32"/>
      <c r="C72" s="32"/>
      <c r="D72" s="32"/>
      <c r="E72" s="135" t="s">
        <v>107</v>
      </c>
      <c r="F72" s="136" t="e">
        <f>F32/(4.19*2*(B9/25.4))</f>
        <v>#DIV/0!</v>
      </c>
      <c r="G72" s="32"/>
      <c r="H72" s="32"/>
      <c r="I72" s="32"/>
      <c r="J72" s="32"/>
      <c r="K72" s="32"/>
      <c r="L72" s="66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C72" s="68"/>
      <c r="AD72" s="64"/>
    </row>
    <row r="73" spans="1:30" ht="12.75">
      <c r="A73" s="49"/>
      <c r="B73" s="32"/>
      <c r="C73" s="32"/>
      <c r="D73" s="32"/>
      <c r="E73" s="137" t="s">
        <v>113</v>
      </c>
      <c r="F73" s="138" t="e">
        <f>F32/(4.91*2*B8)</f>
        <v>#DIV/0!</v>
      </c>
      <c r="G73" s="32"/>
      <c r="H73" s="32"/>
      <c r="I73" s="32"/>
      <c r="J73" s="32"/>
      <c r="K73" s="32"/>
      <c r="L73" s="66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C73" s="68"/>
      <c r="AD73" s="64"/>
    </row>
    <row r="74" spans="1:30" ht="13.5" thickBot="1">
      <c r="A74" s="49"/>
      <c r="B74" s="32"/>
      <c r="C74" s="32"/>
      <c r="D74" s="32"/>
      <c r="E74" s="135" t="s">
        <v>119</v>
      </c>
      <c r="F74" s="136" t="e">
        <f>F32/(4.91*2*(B9/25.4))</f>
        <v>#DIV/0!</v>
      </c>
      <c r="G74" s="32"/>
      <c r="H74" s="32"/>
      <c r="I74" s="32"/>
      <c r="J74" s="32"/>
      <c r="K74" s="32"/>
      <c r="L74" s="66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C74" s="68"/>
      <c r="AD74" s="64"/>
    </row>
    <row r="75" spans="1:30" ht="1.5" customHeight="1" thickBot="1">
      <c r="A75" s="70"/>
      <c r="B75" s="69"/>
      <c r="C75" s="69"/>
      <c r="D75" s="98"/>
      <c r="E75" s="99"/>
      <c r="F75" s="99"/>
      <c r="G75" s="99"/>
      <c r="H75" s="99"/>
      <c r="I75" s="99"/>
      <c r="J75" s="99"/>
      <c r="K75" s="99"/>
      <c r="L75" s="100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C75" s="68"/>
      <c r="AD75" s="64"/>
    </row>
    <row r="76" spans="1:30" ht="12.75">
      <c r="A76" s="30"/>
      <c r="B76" s="30"/>
      <c r="C76" s="30"/>
      <c r="D76" s="30"/>
      <c r="E76" s="30"/>
      <c r="F76" s="30"/>
      <c r="G76" s="30"/>
      <c r="H76" s="30"/>
      <c r="I76" s="92"/>
      <c r="J76" s="92"/>
      <c r="K76" s="92"/>
      <c r="L76" s="97"/>
      <c r="M76" s="9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C76" s="68"/>
      <c r="AD76" s="64"/>
    </row>
    <row r="77" spans="1:30" ht="12.75">
      <c r="A77" s="30"/>
      <c r="B77" s="30"/>
      <c r="C77" s="30"/>
      <c r="D77" s="30"/>
      <c r="E77" s="30"/>
      <c r="F77" s="30"/>
      <c r="G77" s="30"/>
      <c r="H77" s="30"/>
      <c r="I77" s="92"/>
      <c r="J77" s="92"/>
      <c r="K77" s="92"/>
      <c r="L77" s="97"/>
      <c r="M77" s="9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C77" s="68"/>
      <c r="AD77" s="64"/>
    </row>
    <row r="78" spans="9:30" ht="12.75">
      <c r="I78" s="92"/>
      <c r="J78" s="92"/>
      <c r="K78" s="92"/>
      <c r="L78" s="97"/>
      <c r="M78" s="9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C78" s="68"/>
      <c r="AD78" s="64"/>
    </row>
    <row r="79" spans="9:30" ht="12.75">
      <c r="I79" s="92"/>
      <c r="J79" s="92"/>
      <c r="K79" s="92"/>
      <c r="L79" s="97"/>
      <c r="M79" s="9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C79" s="68"/>
      <c r="AD79" s="64"/>
    </row>
    <row r="80" spans="9:30" ht="12.75" customHeight="1">
      <c r="I80" s="92"/>
      <c r="J80" s="92"/>
      <c r="K80" s="92"/>
      <c r="L80" s="97"/>
      <c r="M80" s="9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C80" s="68"/>
      <c r="AD80" s="64"/>
    </row>
    <row r="81" spans="9:30" ht="12.75">
      <c r="I81" s="92"/>
      <c r="J81" s="92"/>
      <c r="K81" s="92"/>
      <c r="L81" s="97"/>
      <c r="M81" s="9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C81" s="68"/>
      <c r="AD81" s="64"/>
    </row>
    <row r="82" spans="9:30" ht="3" customHeight="1">
      <c r="I82" s="92"/>
      <c r="J82" s="92"/>
      <c r="K82" s="92"/>
      <c r="L82" s="97"/>
      <c r="M82" s="9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C82" s="68"/>
      <c r="AD82" s="64"/>
    </row>
    <row r="83" spans="9:30" ht="7.5" customHeight="1">
      <c r="I83" s="92"/>
      <c r="J83" s="92"/>
      <c r="K83" s="92"/>
      <c r="L83" s="97"/>
      <c r="M83" s="9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C83" s="68"/>
      <c r="AD83" s="64"/>
    </row>
    <row r="84" spans="9:30" ht="12" customHeight="1">
      <c r="I84" s="92"/>
      <c r="J84" s="92"/>
      <c r="K84" s="92"/>
      <c r="L84" s="97"/>
      <c r="M84" s="9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C84" s="68"/>
      <c r="AD84" s="64"/>
    </row>
    <row r="85" spans="1:30" ht="14.25" customHeight="1">
      <c r="A85" s="30"/>
      <c r="B85" s="30"/>
      <c r="C85" s="30"/>
      <c r="D85" s="30"/>
      <c r="E85" s="30"/>
      <c r="F85" s="30"/>
      <c r="G85" s="30"/>
      <c r="H85" s="30"/>
      <c r="I85" s="92"/>
      <c r="J85" s="92"/>
      <c r="K85" s="92"/>
      <c r="L85" s="97"/>
      <c r="M85" s="9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C85" s="68"/>
      <c r="AD85" s="64"/>
    </row>
    <row r="86" spans="1:30" ht="12.75">
      <c r="A86" s="30"/>
      <c r="B86" s="30"/>
      <c r="C86" s="30"/>
      <c r="D86" s="30"/>
      <c r="E86" s="30"/>
      <c r="F86" s="30"/>
      <c r="G86" s="30"/>
      <c r="H86" s="30"/>
      <c r="I86" s="92"/>
      <c r="J86" s="92"/>
      <c r="K86" s="92"/>
      <c r="L86" s="97"/>
      <c r="M86" s="9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C86" s="68"/>
      <c r="AD86" s="64"/>
    </row>
    <row r="87" spans="1:30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67"/>
      <c r="M87" s="6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C87" s="68"/>
      <c r="AD87" s="64"/>
    </row>
    <row r="88" spans="1:30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67"/>
      <c r="M88" s="6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C88" s="68"/>
      <c r="AD88" s="64"/>
    </row>
    <row r="89" spans="1:30" ht="12.75">
      <c r="A89" s="30"/>
      <c r="B89" s="30"/>
      <c r="C89" s="30"/>
      <c r="D89" s="30"/>
      <c r="E89" s="30"/>
      <c r="F89" s="30"/>
      <c r="G89" s="30"/>
      <c r="H89" s="30"/>
      <c r="I89" s="30"/>
      <c r="J89" s="53"/>
      <c r="K89" s="53"/>
      <c r="L89" s="67"/>
      <c r="M89" s="6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C89" s="68"/>
      <c r="AD89" s="64"/>
    </row>
    <row r="90" spans="1:30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67"/>
      <c r="M90" s="6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C90" s="68"/>
      <c r="AD90" s="64"/>
    </row>
    <row r="91" spans="1:30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67"/>
      <c r="M91" s="6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C91" s="68"/>
      <c r="AD91" s="64"/>
    </row>
    <row r="92" spans="1:30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7"/>
      <c r="M92" s="6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C92" s="68"/>
      <c r="AD92" s="64"/>
    </row>
    <row r="93" spans="1:30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7"/>
      <c r="M93" s="6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C93" s="68"/>
      <c r="AD93" s="64"/>
    </row>
    <row r="94" spans="1:30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67"/>
      <c r="M94" s="6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C94" s="68"/>
      <c r="AD94" s="64"/>
    </row>
    <row r="95" spans="1:30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67"/>
      <c r="M95" s="6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C95" s="68"/>
      <c r="AD95" s="64"/>
    </row>
    <row r="96" spans="1:30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67"/>
      <c r="M96" s="67"/>
      <c r="AC96" s="68"/>
      <c r="AD96" s="64"/>
    </row>
    <row r="97" spans="1:30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67"/>
      <c r="M97" s="67"/>
      <c r="AC97" s="68"/>
      <c r="AD97" s="64"/>
    </row>
    <row r="98" spans="1:30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67"/>
      <c r="M98" s="67"/>
      <c r="AC98" s="68"/>
      <c r="AD98" s="64"/>
    </row>
    <row r="99" spans="1:30" ht="1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67"/>
      <c r="M99" s="67"/>
      <c r="AC99" s="68"/>
      <c r="AD99" s="64"/>
    </row>
    <row r="100" spans="1:30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67"/>
      <c r="M100" s="67"/>
      <c r="AC100" s="68"/>
      <c r="AD100" s="64"/>
    </row>
    <row r="101" spans="1:30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67"/>
      <c r="M101" s="67"/>
      <c r="AC101" s="68"/>
      <c r="AD101" s="64"/>
    </row>
    <row r="102" spans="1:30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67"/>
      <c r="M102" s="67"/>
      <c r="AC102" s="68"/>
      <c r="AD102" s="64"/>
    </row>
    <row r="103" spans="1:30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67"/>
      <c r="M103" s="67"/>
      <c r="AC103" s="68"/>
      <c r="AD103" s="64"/>
    </row>
    <row r="104" spans="1:30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67"/>
      <c r="M104" s="67"/>
      <c r="AC104" s="68"/>
      <c r="AD104" s="64"/>
    </row>
    <row r="105" spans="1:30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67"/>
      <c r="M105" s="67"/>
      <c r="AC105" s="68"/>
      <c r="AD105" s="64"/>
    </row>
    <row r="106" spans="1:30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67"/>
      <c r="M106" s="67"/>
      <c r="AC106" s="68"/>
      <c r="AD106" s="64"/>
    </row>
    <row r="107" spans="1:30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67"/>
      <c r="M107" s="67"/>
      <c r="AC107" s="68"/>
      <c r="AD107" s="64"/>
    </row>
    <row r="108" spans="1:30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67"/>
      <c r="M108" s="67"/>
      <c r="AC108" s="68"/>
      <c r="AD108" s="64"/>
    </row>
    <row r="109" spans="1:30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67"/>
      <c r="M109" s="67"/>
      <c r="AC109" s="68"/>
      <c r="AD109" s="64"/>
    </row>
    <row r="110" spans="1:30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67"/>
      <c r="M110" s="67"/>
      <c r="AC110" s="68"/>
      <c r="AD110" s="64"/>
    </row>
    <row r="111" spans="1:30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67"/>
      <c r="M111" s="67"/>
      <c r="AC111" s="68"/>
      <c r="AD111" s="64"/>
    </row>
    <row r="112" spans="1:30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67"/>
      <c r="M112" s="67"/>
      <c r="AC112" s="68"/>
      <c r="AD112" s="64"/>
    </row>
    <row r="113" spans="1:30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67"/>
      <c r="M113" s="67"/>
      <c r="AC113" s="68"/>
      <c r="AD113" s="64"/>
    </row>
    <row r="114" spans="1:30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67"/>
      <c r="M114" s="67"/>
      <c r="AC114" s="68"/>
      <c r="AD114" s="64"/>
    </row>
    <row r="115" spans="1:30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67"/>
      <c r="M115" s="67"/>
      <c r="AC115" s="68"/>
      <c r="AD115" s="64"/>
    </row>
    <row r="116" spans="1:30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67"/>
      <c r="M116" s="67"/>
      <c r="AC116" s="68"/>
      <c r="AD116" s="64"/>
    </row>
    <row r="117" spans="1:30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67"/>
      <c r="M117" s="67"/>
      <c r="AC117" s="68"/>
      <c r="AD117" s="64"/>
    </row>
    <row r="118" spans="1:30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67"/>
      <c r="M118" s="67"/>
      <c r="AC118" s="68"/>
      <c r="AD118" s="64"/>
    </row>
    <row r="119" spans="1:30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67"/>
      <c r="M119" s="67"/>
      <c r="AC119" s="68"/>
      <c r="AD119" s="64"/>
    </row>
    <row r="120" spans="1:30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67"/>
      <c r="M120" s="67"/>
      <c r="AC120" s="68"/>
      <c r="AD120" s="64"/>
    </row>
    <row r="121" spans="1:30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67"/>
      <c r="M121" s="67"/>
      <c r="AC121" s="68"/>
      <c r="AD121" s="64"/>
    </row>
    <row r="122" spans="1:30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67"/>
      <c r="M122" s="67"/>
      <c r="AC122" s="68"/>
      <c r="AD122" s="64"/>
    </row>
    <row r="123" spans="1:30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67"/>
      <c r="M123" s="67"/>
      <c r="AC123" s="68"/>
      <c r="AD123" s="64"/>
    </row>
    <row r="124" spans="1:30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67"/>
      <c r="M124" s="67"/>
      <c r="AC124" s="68"/>
      <c r="AD124" s="64"/>
    </row>
    <row r="125" spans="1:30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67"/>
      <c r="M125" s="67"/>
      <c r="AC125" s="68"/>
      <c r="AD125" s="64"/>
    </row>
    <row r="126" spans="1:30" ht="4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67"/>
      <c r="M126" s="67"/>
      <c r="AC126" s="68"/>
      <c r="AD126" s="64"/>
    </row>
    <row r="127" spans="1:29" ht="408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67"/>
      <c r="M127" s="67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</row>
    <row r="128" spans="1:2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</row>
  </sheetData>
  <sheetProtection/>
  <mergeCells count="50">
    <mergeCell ref="G12:H12"/>
    <mergeCell ref="G15:J15"/>
    <mergeCell ref="G17:I17"/>
    <mergeCell ref="I3:J3"/>
    <mergeCell ref="I4:J4"/>
    <mergeCell ref="I5:J5"/>
    <mergeCell ref="G11:H11"/>
    <mergeCell ref="I21:J21"/>
    <mergeCell ref="F24:G24"/>
    <mergeCell ref="F25:G25"/>
    <mergeCell ref="A23:C24"/>
    <mergeCell ref="B20:C20"/>
    <mergeCell ref="A22:C22"/>
    <mergeCell ref="A28:A29"/>
    <mergeCell ref="B28:B29"/>
    <mergeCell ref="C28:C29"/>
    <mergeCell ref="E28:J28"/>
    <mergeCell ref="E29:J30"/>
    <mergeCell ref="H31:J33"/>
    <mergeCell ref="E34:F34"/>
    <mergeCell ref="B5:C5"/>
    <mergeCell ref="B6:C6"/>
    <mergeCell ref="B3:C3"/>
    <mergeCell ref="B14:C14"/>
    <mergeCell ref="G16:I16"/>
    <mergeCell ref="G10:H10"/>
    <mergeCell ref="G13:J13"/>
    <mergeCell ref="A25:C25"/>
    <mergeCell ref="D11:E11"/>
    <mergeCell ref="D12:E12"/>
    <mergeCell ref="D13:E13"/>
    <mergeCell ref="G8:H8"/>
    <mergeCell ref="G9:H9"/>
    <mergeCell ref="G6:J6"/>
    <mergeCell ref="B1:J2"/>
    <mergeCell ref="C10:C11"/>
    <mergeCell ref="F22:G22"/>
    <mergeCell ref="F23:G23"/>
    <mergeCell ref="F20:J20"/>
    <mergeCell ref="F21:H21"/>
    <mergeCell ref="B15:C15"/>
    <mergeCell ref="B16:C16"/>
    <mergeCell ref="B17:C17"/>
    <mergeCell ref="B18:C18"/>
    <mergeCell ref="B19:C19"/>
    <mergeCell ref="D10:E10"/>
    <mergeCell ref="A21:C21"/>
    <mergeCell ref="B8:C8"/>
    <mergeCell ref="B9:C9"/>
    <mergeCell ref="C12:C13"/>
  </mergeCells>
  <dataValidations count="7">
    <dataValidation type="list" allowBlank="1" showInputMessage="1" showErrorMessage="1" sqref="A22">
      <formula1>$S$6:$S$9</formula1>
    </dataValidation>
    <dataValidation type="list" allowBlank="1" showInputMessage="1" showErrorMessage="1" sqref="A25">
      <formula1>$Y$6:$Y$8</formula1>
    </dataValidation>
    <dataValidation type="list" allowBlank="1" showInputMessage="1" showErrorMessage="1" sqref="B14:C14">
      <formula1>$Q$5:$Q$16</formula1>
    </dataValidation>
    <dataValidation type="list" allowBlank="1" showInputMessage="1" showErrorMessage="1" sqref="B15:C15">
      <formula1>$Q$5:$Q$8</formula1>
    </dataValidation>
    <dataValidation type="list" allowBlank="1" showInputMessage="1" showErrorMessage="1" sqref="B16:C16">
      <formula1>$P$6:$P$7</formula1>
    </dataValidation>
    <dataValidation type="list" allowBlank="1" showInputMessage="1" showErrorMessage="1" sqref="B7">
      <formula1>$W$6:$W$37</formula1>
    </dataValidation>
    <dataValidation type="list" allowBlank="1" showInputMessage="1" showErrorMessage="1" sqref="B6:C6">
      <formula1>$U$7:$U$40</formula1>
    </dataValidation>
  </dataValidations>
  <printOptions/>
  <pageMargins left="0.75" right="0.25" top="1.25" bottom="0.5" header="0.3" footer="0.3"/>
  <pageSetup fitToHeight="0" horizontalDpi="600" verticalDpi="600" orientation="landscape" scale="105" r:id="rId2"/>
  <colBreaks count="2" manualBreakCount="2">
    <brk id="12" max="65535" man="1"/>
    <brk id="28" max="1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Hutchison Tool 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Tapping Calculator</dc:title>
  <dc:subject/>
  <dc:creator>David Haag</dc:creator>
  <cp:keywords/>
  <dc:description/>
  <cp:lastModifiedBy>hp</cp:lastModifiedBy>
  <cp:lastPrinted>2018-10-31T18:12:05Z</cp:lastPrinted>
  <dcterms:created xsi:type="dcterms:W3CDTF">2013-01-29T21:59:49Z</dcterms:created>
  <dcterms:modified xsi:type="dcterms:W3CDTF">2018-11-16T04:58:34Z</dcterms:modified>
  <cp:category/>
  <cp:version/>
  <cp:contentType/>
  <cp:contentStatus/>
</cp:coreProperties>
</file>